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aonb-my.sharepoint.com/personal/bruce_winney_national-landscapes_org_uk/Documents/NAAONB/Outcomes Framework/"/>
    </mc:Choice>
  </mc:AlternateContent>
  <xr:revisionPtr revIDLastSave="10" documentId="8_{50F8EA1C-42A1-41F8-8AC2-74D6CB2B2DC7}" xr6:coauthVersionLast="47" xr6:coauthVersionMax="47" xr10:uidLastSave="{FF4A4466-D20C-46A6-A614-56CC2A3E7DDE}"/>
  <bookViews>
    <workbookView xWindow="-120" yWindow="-120" windowWidth="29040" windowHeight="15720" xr2:uid="{9AF05F12-D067-4B7C-9641-DC4B9AE4A654}"/>
  </bookViews>
  <sheets>
    <sheet name="Area calculations" sheetId="1" r:id="rId1"/>
    <sheet name="Costings - delivery data" sheetId="6" r:id="rId2"/>
    <sheet name="Costings - Gov numbers" sheetId="4" r:id="rId3"/>
    <sheet name="Priority habitats outside SSSIs" sheetId="2" r:id="rId4"/>
    <sheet name="AES for Habitat target" sheetId="5" r:id="rId5"/>
  </sheets>
  <definedNames>
    <definedName name="_xlnm._FilterDatabase" localSheetId="3" hidden="1">'Priority habitats outside SSSIs'!$B$2:$P$61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19" i="1"/>
  <c r="J7" i="1"/>
  <c r="J17" i="1"/>
  <c r="I13" i="1"/>
  <c r="J5" i="1" l="1"/>
  <c r="C26" i="1"/>
  <c r="O10" i="6"/>
  <c r="G24" i="1"/>
  <c r="L13" i="1"/>
  <c r="I33" i="4" l="1"/>
  <c r="I33" i="6"/>
  <c r="M17" i="1"/>
  <c r="C8" i="1"/>
  <c r="H14" i="1"/>
  <c r="H15" i="1"/>
  <c r="C9" i="1"/>
  <c r="O11" i="4"/>
  <c r="N13" i="4"/>
  <c r="N4" i="4"/>
  <c r="L16" i="4"/>
  <c r="K7" i="4"/>
  <c r="J14" i="4"/>
  <c r="J13" i="4"/>
  <c r="J7" i="4"/>
  <c r="J5" i="4"/>
  <c r="J5" i="6"/>
  <c r="I15" i="4"/>
  <c r="I17" i="4"/>
  <c r="I17" i="6" l="1"/>
  <c r="O10" i="4"/>
  <c r="O9" i="4"/>
  <c r="O28" i="4" s="1"/>
  <c r="M6" i="4"/>
  <c r="N28" i="4"/>
  <c r="N3" i="4"/>
  <c r="K28" i="4"/>
  <c r="J6" i="4"/>
  <c r="J28" i="4"/>
  <c r="N3" i="6"/>
  <c r="D15" i="6"/>
  <c r="D6" i="4"/>
  <c r="G20" i="1"/>
  <c r="G21" i="1"/>
  <c r="L3" i="1" l="1"/>
  <c r="D16" i="6"/>
  <c r="K3" i="1"/>
  <c r="D23" i="1"/>
  <c r="C29" i="1" l="1"/>
  <c r="M5" i="1" s="1"/>
  <c r="L16" i="6"/>
  <c r="L5" i="1"/>
  <c r="L7" i="1" s="1"/>
  <c r="P8" i="2"/>
  <c r="P4" i="2"/>
  <c r="L12" i="1" l="1"/>
  <c r="L11" i="1"/>
  <c r="M21" i="1"/>
  <c r="K5" i="1"/>
  <c r="D31" i="1"/>
  <c r="C4" i="1"/>
  <c r="I5" i="1"/>
  <c r="H5" i="1"/>
  <c r="J6" i="6" s="1"/>
  <c r="M3" i="1"/>
  <c r="G3" i="1"/>
  <c r="C7" i="1"/>
  <c r="I3" i="1" s="1"/>
  <c r="C6" i="1"/>
  <c r="H3" i="1" s="1"/>
  <c r="C15" i="1"/>
  <c r="C16" i="1" s="1"/>
  <c r="L14" i="1" l="1"/>
  <c r="O9" i="6"/>
  <c r="H7" i="1"/>
  <c r="G7" i="1"/>
  <c r="G19" i="1" s="1"/>
  <c r="G22" i="1" s="1"/>
  <c r="G23" i="1" s="1"/>
  <c r="G25" i="1" s="1"/>
  <c r="H10" i="1"/>
  <c r="L19" i="4" l="1"/>
  <c r="I18" i="4"/>
  <c r="M16" i="1"/>
  <c r="F12" i="5"/>
  <c r="F9" i="5"/>
  <c r="F3" i="5"/>
  <c r="F6" i="5"/>
  <c r="J7" i="6" l="1"/>
  <c r="J14" i="6"/>
  <c r="J13" i="6"/>
  <c r="J3" i="1"/>
  <c r="D14" i="6"/>
  <c r="D22" i="6"/>
  <c r="O11" i="6" l="1"/>
  <c r="O28" i="6" s="1"/>
  <c r="J28" i="6"/>
  <c r="G27" i="1" l="1"/>
  <c r="L19" i="6"/>
  <c r="G26" i="1"/>
  <c r="L22" i="6" l="1"/>
  <c r="I30" i="6" s="1"/>
  <c r="L22" i="4"/>
  <c r="I23" i="4"/>
  <c r="I21" i="4"/>
  <c r="L25" i="6"/>
  <c r="I26" i="4"/>
  <c r="L25" i="4"/>
  <c r="I24" i="4"/>
  <c r="L28" i="6"/>
  <c r="I31" i="4" l="1"/>
  <c r="I28" i="4"/>
  <c r="I32" i="4"/>
  <c r="I30" i="4"/>
  <c r="L28" i="4"/>
  <c r="D8" i="6"/>
  <c r="I34" i="4" l="1"/>
  <c r="J32" i="4" s="1"/>
  <c r="J31" i="4"/>
  <c r="D9" i="4"/>
  <c r="F16" i="5"/>
  <c r="D15" i="4" s="1"/>
  <c r="D13" i="4"/>
  <c r="D17" i="4"/>
  <c r="D11" i="4"/>
  <c r="D7" i="4"/>
  <c r="D7" i="6" s="1"/>
  <c r="J30" i="4" l="1"/>
  <c r="M6" i="6"/>
  <c r="D6" i="6" l="1"/>
  <c r="K7" i="1" l="1"/>
  <c r="K16" i="1" s="1"/>
  <c r="I7" i="1"/>
  <c r="M13" i="4" l="1"/>
  <c r="M7" i="4"/>
  <c r="M13" i="6"/>
  <c r="M7" i="6"/>
  <c r="N4" i="6"/>
  <c r="N13" i="6"/>
  <c r="I10" i="1"/>
  <c r="I15" i="1" s="1"/>
  <c r="K7" i="6" s="1"/>
  <c r="K28" i="6" s="1"/>
  <c r="M28" i="4" l="1"/>
  <c r="O29" i="4" s="1"/>
  <c r="N28" i="6"/>
  <c r="I23" i="6" l="1"/>
  <c r="I15" i="6" l="1"/>
  <c r="I21" i="6"/>
  <c r="I24" i="6" l="1"/>
  <c r="I26" i="6"/>
  <c r="I32" i="6" s="1"/>
  <c r="I18" i="6"/>
  <c r="I31" i="6" s="1"/>
  <c r="I34" i="6" l="1"/>
  <c r="I28" i="6"/>
  <c r="M28" i="6"/>
  <c r="J33" i="6" l="1"/>
  <c r="J30" i="6"/>
  <c r="J32" i="6"/>
  <c r="J31" i="6"/>
  <c r="O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Bruce Winney</author>
  </authors>
  <commentList>
    <comment ref="C4" authorId="0" shapeId="0" xr:uid="{97AD0F68-00F4-4811-AD89-2410552BAE02}">
      <text>
        <r>
          <rPr>
            <b/>
            <sz val="9"/>
            <color indexed="81"/>
            <rFont val="Tahoma"/>
            <family val="2"/>
          </rPr>
          <t>Bruce Winney:</t>
        </r>
        <r>
          <rPr>
            <sz val="9"/>
            <color indexed="81"/>
            <rFont val="Tahoma"/>
            <family val="2"/>
          </rPr>
          <t xml:space="preserve">
784.20 overlap
Includes whole of Wye Valley</t>
        </r>
      </text>
    </comment>
    <comment ref="C5" authorId="0" shapeId="0" xr:uid="{F4BB9A3B-DDA8-4871-BE47-F988E7A40B3F}">
      <text>
        <r>
          <rPr>
            <b/>
            <sz val="9"/>
            <color indexed="81"/>
            <rFont val="Tahoma"/>
            <family val="2"/>
          </rPr>
          <t>Bruce Winney:</t>
        </r>
        <r>
          <rPr>
            <sz val="9"/>
            <color indexed="81"/>
            <rFont val="Tahoma"/>
            <family val="2"/>
          </rPr>
          <t xml:space="preserve">
Collated from protected landscape offers</t>
        </r>
      </text>
    </comment>
    <comment ref="C8" authorId="0" shapeId="0" xr:uid="{44AB2785-67DD-4FE2-AEAB-19FE3ED95EB4}">
      <text>
        <r>
          <rPr>
            <b/>
            <sz val="9"/>
            <color indexed="81"/>
            <rFont val="Tahoma"/>
            <family val="2"/>
          </rPr>
          <t>Bruce Winney:</t>
        </r>
        <r>
          <rPr>
            <sz val="9"/>
            <color indexed="81"/>
            <rFont val="Tahoma"/>
            <family val="2"/>
          </rPr>
          <t xml:space="preserve">
Maintain current as proxy for favourable and then add created habitat as created. Tree planting to 2042 excluded as part of this target 
But what overlap with Tgt 4? </t>
        </r>
      </text>
    </comment>
    <comment ref="C9" authorId="0" shapeId="0" xr:uid="{B628554E-BBA9-4C30-BE32-6EEFD1405F59}">
      <text>
        <r>
          <rPr>
            <b/>
            <sz val="9"/>
            <color indexed="81"/>
            <rFont val="Tahoma"/>
            <family val="2"/>
          </rPr>
          <t>Bruce Winney:</t>
        </r>
        <r>
          <rPr>
            <sz val="9"/>
            <color indexed="81"/>
            <rFont val="Tahoma"/>
            <family val="2"/>
          </rPr>
          <t xml:space="preserve">
Median of range, only on farmland</t>
        </r>
      </text>
    </comment>
    <comment ref="C11" authorId="0" shapeId="0" xr:uid="{5310CBB7-6D6E-4ADE-9016-BADEE4758039}">
      <text>
        <r>
          <rPr>
            <b/>
            <sz val="9"/>
            <color indexed="81"/>
            <rFont val="Tahoma"/>
            <family val="2"/>
          </rPr>
          <t>Bruce Winney:</t>
        </r>
        <r>
          <rPr>
            <sz val="9"/>
            <color indexed="81"/>
            <rFont val="Tahoma"/>
            <family val="2"/>
          </rPr>
          <t xml:space="preserve">
Assume peat work split between inside and outside SSSIs. Need to refine (YDNP is 60% outside)</t>
        </r>
      </text>
    </comment>
    <comment ref="F11" authorId="0" shapeId="0" xr:uid="{45A23A6F-E7F0-4FD2-8ECF-A541BAF087E1}">
      <text>
        <r>
          <rPr>
            <b/>
            <sz val="9"/>
            <color indexed="81"/>
            <rFont val="Tahoma"/>
            <family val="2"/>
          </rPr>
          <t>Bruce Winney:</t>
        </r>
        <r>
          <rPr>
            <sz val="9"/>
            <color indexed="81"/>
            <rFont val="Tahoma"/>
            <family val="2"/>
          </rPr>
          <t xml:space="preserve">
Make this separate to SSSI tgt 2 to ensure non-peat SSSIs are also brought into management</t>
        </r>
      </text>
    </comment>
    <comment ref="C14" authorId="0" shapeId="0" xr:uid="{E30A76E5-AD8C-4675-AA2D-50A862418BB0}">
      <text>
        <r>
          <rPr>
            <b/>
            <sz val="9"/>
            <color indexed="81"/>
            <rFont val="Tahoma"/>
            <family val="2"/>
          </rPr>
          <t>Bruce Winney:</t>
        </r>
        <r>
          <rPr>
            <sz val="9"/>
            <color indexed="81"/>
            <rFont val="Tahoma"/>
            <family val="2"/>
          </rPr>
          <t xml:space="preserve">
Use number of sites?</t>
        </r>
      </text>
    </comment>
    <comment ref="C15" authorId="0" shapeId="0" xr:uid="{F80F173A-303F-4EFF-B392-E9877F180F9A}">
      <text>
        <r>
          <rPr>
            <b/>
            <sz val="9"/>
            <color indexed="81"/>
            <rFont val="Tahoma"/>
            <family val="2"/>
          </rPr>
          <t>Bruce Winney:</t>
        </r>
        <r>
          <rPr>
            <sz val="9"/>
            <color indexed="81"/>
            <rFont val="Tahoma"/>
            <family val="2"/>
          </rPr>
          <t xml:space="preserve">
Ha of SSSI with condition assessed BEFORE 1/1/2020</t>
        </r>
      </text>
    </comment>
    <comment ref="B27" authorId="0" shapeId="0" xr:uid="{65FF1FA8-ADE4-49AE-97B4-A00326977C93}">
      <text>
        <r>
          <rPr>
            <b/>
            <sz val="9"/>
            <color indexed="81"/>
            <rFont val="Tahoma"/>
            <family val="2"/>
          </rPr>
          <t>Bruce Winney:</t>
        </r>
        <r>
          <rPr>
            <sz val="9"/>
            <color indexed="81"/>
            <rFont val="Tahoma"/>
            <family val="2"/>
          </rPr>
          <t xml:space="preserve">
Counts the whole SSSI if some management</t>
        </r>
      </text>
    </comment>
    <comment ref="B30" authorId="0" shapeId="0" xr:uid="{BC5F6EAC-2159-4677-977B-20FC34E19B63}">
      <text>
        <r>
          <rPr>
            <b/>
            <sz val="9"/>
            <color indexed="81"/>
            <rFont val="Tahoma"/>
            <family val="2"/>
          </rPr>
          <t>Bruce Winney:</t>
        </r>
        <r>
          <rPr>
            <sz val="9"/>
            <color indexed="81"/>
            <rFont val="Tahoma"/>
            <family val="2"/>
          </rPr>
          <t xml:space="preserve">
Exclude woodland because more likely to use non-AES schemes?</t>
        </r>
      </text>
    </comment>
  </commentList>
</comments>
</file>

<file path=xl/sharedStrings.xml><?xml version="1.0" encoding="utf-8"?>
<sst xmlns="http://schemas.openxmlformats.org/spreadsheetml/2006/main" count="490" uniqueCount="236">
  <si>
    <t>Ha</t>
  </si>
  <si>
    <t>England</t>
  </si>
  <si>
    <t>Percentage</t>
  </si>
  <si>
    <t>Habitat creation</t>
  </si>
  <si>
    <t>Notes</t>
  </si>
  <si>
    <t>Total required (Ha)</t>
  </si>
  <si>
    <t>Bring into management/restore</t>
  </si>
  <si>
    <t>Required (TARGET)</t>
  </si>
  <si>
    <t>Deep Peat outside SSSIs</t>
  </si>
  <si>
    <t>Sum of Total area (ha)</t>
  </si>
  <si>
    <t>Calaminarian grassland</t>
  </si>
  <si>
    <t>Coastal and floodplain grazing marsh</t>
  </si>
  <si>
    <t>Coastal and floodplain grazing marsh,Coastal saltmarsh</t>
  </si>
  <si>
    <t>Coastal and floodplain grazing marsh,Lowland meadows</t>
  </si>
  <si>
    <t>Coastal saltmarsh</t>
  </si>
  <si>
    <t>Coastal saltmarsh,Saline lagoons</t>
  </si>
  <si>
    <t>Coastal sand dunes</t>
  </si>
  <si>
    <t>Coastal sand dunes,Deciduous woodland</t>
  </si>
  <si>
    <t>Coastal sand dunes,Lowland heathland</t>
  </si>
  <si>
    <t>Coastal sand dunes,Maritime cliff and slope</t>
  </si>
  <si>
    <t>Coastal vegetated shingle</t>
  </si>
  <si>
    <t>Deciduous woodland,Maritime cliff and slope</t>
  </si>
  <si>
    <t>Good quality semi improved grassland</t>
  </si>
  <si>
    <t>Good quality semi improved grassland,Traditional orchard</t>
  </si>
  <si>
    <t>Lakes</t>
  </si>
  <si>
    <t>Lowland calcareous grassland</t>
  </si>
  <si>
    <t>Lowland calcareous grassland,Maritime cliff and slope</t>
  </si>
  <si>
    <t>Lowland dry acid grassland</t>
  </si>
  <si>
    <t>Lowland dry acid grassland,Lowland heathland</t>
  </si>
  <si>
    <t>Lowland dry acid grassland,Maritime cliff and slope</t>
  </si>
  <si>
    <t>Lowland fens</t>
  </si>
  <si>
    <t>Lowland fens,Maritime cliff and slope</t>
  </si>
  <si>
    <t>Lowland fens,Reedbeds</t>
  </si>
  <si>
    <t>Lowland heathland</t>
  </si>
  <si>
    <t>Lowland heathland,Maritime cliff and slope</t>
  </si>
  <si>
    <t>Lowland meadows</t>
  </si>
  <si>
    <t>Lowland meadows,Maritime cliff and slope</t>
  </si>
  <si>
    <t>Maritime cliff and slope</t>
  </si>
  <si>
    <t>Maritime cliff and slope,Coastal saltmarsh</t>
  </si>
  <si>
    <t>Mudflats</t>
  </si>
  <si>
    <t>No main habitat but additional habitats present</t>
  </si>
  <si>
    <t>Ponds</t>
  </si>
  <si>
    <t>Ponds,Reedbeds</t>
  </si>
  <si>
    <t>Purple moor grass and rush pastures</t>
  </si>
  <si>
    <t>Reedbeds</t>
  </si>
  <si>
    <t>Reedbeds,Coastal saltmarsh</t>
  </si>
  <si>
    <t>Saline lagoons</t>
  </si>
  <si>
    <t>Grand Total</t>
  </si>
  <si>
    <t>Grass/heath</t>
  </si>
  <si>
    <t>Coastal</t>
  </si>
  <si>
    <t>Other</t>
  </si>
  <si>
    <t>Freshwater</t>
  </si>
  <si>
    <t>Broad habitat</t>
  </si>
  <si>
    <t>Additional PHI in 30by30</t>
  </si>
  <si>
    <t>Surface water</t>
  </si>
  <si>
    <t>£/ha y</t>
  </si>
  <si>
    <t>Peat</t>
  </si>
  <si>
    <t>Restore</t>
  </si>
  <si>
    <t>Wood</t>
  </si>
  <si>
    <t>Plant</t>
  </si>
  <si>
    <t>Maintain</t>
  </si>
  <si>
    <t>ELM</t>
  </si>
  <si>
    <t>Create</t>
  </si>
  <si>
    <t xml:space="preserve">Create/restore </t>
  </si>
  <si>
    <t>Development costs</t>
  </si>
  <si>
    <t>Project Development</t>
  </si>
  <si>
    <t>Bring into management/ restore</t>
  </si>
  <si>
    <t>Habitat  creation</t>
  </si>
  <si>
    <t>https://www.gov.uk/government/publications/woodland-grants-and-incentives-overview-table/woodland-grants-and-incentives-overview-table</t>
  </si>
  <si>
    <t>Bring into management</t>
  </si>
  <si>
    <t>https://assets.publishing.service.gov.uk/media/641c370732a8e0000cfa92a2/WMB_100ha_Financial_study_Mar_23.pdf</t>
  </si>
  <si>
    <t>https://sefari.scot/sites/default/files/documents/The%20costs%20of%20peatland%20restoration%20March%202021.pdf</t>
  </si>
  <si>
    <t>ELM (PHI)</t>
  </si>
  <si>
    <t>Based on CS 5 and 10 year in Deep Dive NLs (total ELM for NL, weighted for 1 year divided by area PHI under AES)</t>
  </si>
  <si>
    <t>Offer name</t>
  </si>
  <si>
    <t>Habitat type</t>
  </si>
  <si>
    <t>Grasslands</t>
  </si>
  <si>
    <t xml:space="preserve">Wetlands </t>
  </si>
  <si>
    <t>Heathlands</t>
  </si>
  <si>
    <t>Arable field margins</t>
  </si>
  <si>
    <t>Wooded habitats</t>
  </si>
  <si>
    <t>WN5: Pond management (less than 100 square metres)</t>
  </si>
  <si>
    <t>WN6: Pond management (more than 100 square metres)</t>
  </si>
  <si>
    <t>WN7: Restoration of large water bodies</t>
  </si>
  <si>
    <t>Saltmarsh and intertidal habitats</t>
  </si>
  <si>
    <t>BN7: Hedgerow gapping-up</t>
  </si>
  <si>
    <t>Broad Habitat</t>
  </si>
  <si>
    <t>Other/wood</t>
  </si>
  <si>
    <t>Payment</t>
  </si>
  <si>
    <t>Adjusted to 1ha</t>
  </si>
  <si>
    <t>Actual costs</t>
  </si>
  <si>
    <t>Use for cleaning up surface water</t>
  </si>
  <si>
    <t>Total</t>
  </si>
  <si>
    <t>FiPL</t>
  </si>
  <si>
    <t>Proxy development costs</t>
  </si>
  <si>
    <t>Evenlode (7ha, 1km river NFM, £22k develop, £300k contract costs)</t>
  </si>
  <si>
    <t>Yarty (WEIF 1.5km, say 100m wide?, £146,441)</t>
  </si>
  <si>
    <t>Included in restoration figures</t>
  </si>
  <si>
    <t>Based on ELM Habitat creation options</t>
  </si>
  <si>
    <t>SSSIs</t>
  </si>
  <si>
    <t>SSSIs F and UR with AES or Managed Woodland</t>
  </si>
  <si>
    <t>Roger English (WEIF, £20k),Tamar Valley - Rob Price (informed estimates: £33k, £75k, 67k)</t>
  </si>
  <si>
    <t>Roger English (WEIF, £625?),Tamar Valley - Rob Price (informed estimates: £11k, £3.4k, 11k)</t>
  </si>
  <si>
    <t>Tamar Valley - Rob Price (informed estimates: £20k, £42k, 34k)</t>
  </si>
  <si>
    <t>Grassland</t>
  </si>
  <si>
    <t>Intertidal</t>
  </si>
  <si>
    <t>Survey SSSI Condition</t>
  </si>
  <si>
    <t>Simon - £350 grassland; Cath - £156 heath</t>
  </si>
  <si>
    <t>Simon (minus overheads)</t>
  </si>
  <si>
    <t>Simon (minus overheads - £760); Cath (£500 - heath but doesn't invole contractors)</t>
  </si>
  <si>
    <r>
      <rPr>
        <b/>
        <sz val="11"/>
        <color theme="1"/>
        <rFont val="Effra"/>
        <family val="2"/>
      </rPr>
      <t>Chilterns - £160/m (for wider restoration, rewiggle, scrapes, wetlands, includes developmnt costs)</t>
    </r>
    <r>
      <rPr>
        <sz val="11"/>
        <color theme="1"/>
        <rFont val="Effra"/>
        <family val="2"/>
      </rPr>
      <t xml:space="preserve">, </t>
    </r>
    <r>
      <rPr>
        <i/>
        <sz val="11"/>
        <color theme="1"/>
        <rFont val="Effra"/>
        <family val="2"/>
      </rPr>
      <t>Tamar Valley</t>
    </r>
  </si>
  <si>
    <t>Coastal habitat network potential (NE)</t>
  </si>
  <si>
    <t>SSSI Condition</t>
  </si>
  <si>
    <t>Survey</t>
  </si>
  <si>
    <t>No SSSIs features in PLs with old condition assessment</t>
  </si>
  <si>
    <t>Chilterns - £160/m (for wider restoration, rewiggle, scrapes, wetlands, includes developmnt costs). £154/m from Herts Chalk Streams SSF.</t>
  </si>
  <si>
    <t>Estimated cost per feature (through NE) 2 days field work, 2 days desk-based (data and QA)</t>
  </si>
  <si>
    <t>Tgt 1 Habitat creation</t>
  </si>
  <si>
    <t>Tgt 7 Deep Peat (restore inside SSSIs)</t>
  </si>
  <si>
    <t>Tgt 7 Deep Peat (restore outside SSSIs)</t>
  </si>
  <si>
    <t>FiPL engagement (7,000 farms)</t>
  </si>
  <si>
    <t>Average size 100ha</t>
  </si>
  <si>
    <t>https://defrafarming.blog.gov.uk/2023/11/28/farming-in-protected-landscapes-interim-evaluation-findings/; £100m over 4 years, 3,176,412ha; assume effective cover 5%. Intervention rate 50%</t>
  </si>
  <si>
    <t xml:space="preserve">Average </t>
  </si>
  <si>
    <t>BN11: Planting new hedges</t>
  </si>
  <si>
    <t>Priority Habitat</t>
  </si>
  <si>
    <t>Includes Ponds</t>
  </si>
  <si>
    <t>Opportunities converted</t>
  </si>
  <si>
    <t>SSSIs area with old condition assessment</t>
  </si>
  <si>
    <t>Non-wood PHI (outside SSSIs) in AES</t>
  </si>
  <si>
    <t>Managed Wood and parkland outside SSSIs (excludes conifers)</t>
  </si>
  <si>
    <t>Non-wood PHI (outside SSSIs) - split by broad habitats</t>
  </si>
  <si>
    <t xml:space="preserve">  </t>
  </si>
  <si>
    <t>PLTOF Tgt 1 (Habitat)</t>
  </si>
  <si>
    <t>PLTOF Tgt 2 (SSSI condition)</t>
  </si>
  <si>
    <t>PLTOF Tgt 3 (actions on track)</t>
  </si>
  <si>
    <t>PLTOF Tgt 4 (AES on PHI)</t>
  </si>
  <si>
    <t>PLTOF Tgt 5 (Nature friendly farming)</t>
  </si>
  <si>
    <t>PLTOF Tgt 6 (Net Zero)</t>
  </si>
  <si>
    <t>PLTOF Tgt 7 (Peat)</t>
  </si>
  <si>
    <t>PLTOF Tgt 8 (Trees)</t>
  </si>
  <si>
    <t>PLTOF Tgt 9 (Access)</t>
  </si>
  <si>
    <t>PLTOF Tgt 10 (Heritage at risk)</t>
  </si>
  <si>
    <t>SSSIs in PLs</t>
  </si>
  <si>
    <t>Non-wood, non-peat PHI total</t>
  </si>
  <si>
    <t>Non-wood PHI, non-peat outside SSSIs</t>
  </si>
  <si>
    <t>40% outside SSSIs</t>
  </si>
  <si>
    <t>70% SSSIs</t>
  </si>
  <si>
    <t>64% Woodland</t>
  </si>
  <si>
    <t>6.5%-12%</t>
  </si>
  <si>
    <t>Features</t>
  </si>
  <si>
    <t>SSSIs Features in Favourable condition</t>
  </si>
  <si>
    <t>SSSI Features - actions on track</t>
  </si>
  <si>
    <t>Tgt 1</t>
  </si>
  <si>
    <t>Tgt 2</t>
  </si>
  <si>
    <t>Tgt 3</t>
  </si>
  <si>
    <t>Tgt 4</t>
  </si>
  <si>
    <t>Tgt 5</t>
  </si>
  <si>
    <t>Tgt 7</t>
  </si>
  <si>
    <t>Tgt 8</t>
  </si>
  <si>
    <t>Baseline</t>
  </si>
  <si>
    <t>Area in AES</t>
  </si>
  <si>
    <t>Total farmed area</t>
  </si>
  <si>
    <t>Protected landscapes</t>
  </si>
  <si>
    <t>NLs</t>
  </si>
  <si>
    <t>NPs</t>
  </si>
  <si>
    <t>Additional Water in 30by30</t>
  </si>
  <si>
    <t>Coastal and floodplain grazing marsh,Maritime cliff and slope</t>
  </si>
  <si>
    <t>Coastal sand dunes,Coastal vegetated shingle</t>
  </si>
  <si>
    <t>Coastal sand dunes,Lowland calcareous grassland</t>
  </si>
  <si>
    <t>Coastal sand dunes,Lowland fens</t>
  </si>
  <si>
    <t>Coastal sand dunes,Reedbeds</t>
  </si>
  <si>
    <t>Coastal vegetated shingle,Lowland heathland</t>
  </si>
  <si>
    <t>Coastal vegetated shingle,Saline lagoons</t>
  </si>
  <si>
    <t>Deciduous woodland,Limestone pavement</t>
  </si>
  <si>
    <t>Fragmented heath</t>
  </si>
  <si>
    <t>Grass moorland</t>
  </si>
  <si>
    <t>Lakes,Lowland fens</t>
  </si>
  <si>
    <t>Lakes,Lowland fens,Reedbeds</t>
  </si>
  <si>
    <t>Lakes,Reedbeds</t>
  </si>
  <si>
    <t>Limestone pavement</t>
  </si>
  <si>
    <t>Limestone pavement,Upland calcareous grassland</t>
  </si>
  <si>
    <t>Lowland calcareous grassland,Limestone pavement</t>
  </si>
  <si>
    <t>Lowland dry acid grassland,Limestone pavement</t>
  </si>
  <si>
    <t>Maritime cliff and slope,Purple moor grass and rush pastures</t>
  </si>
  <si>
    <t>Maritime cliff and slope,Reedbeds</t>
  </si>
  <si>
    <t>Mountain heaths and willow scrub</t>
  </si>
  <si>
    <t>Reedbeds,Upland flushes fens and swamps</t>
  </si>
  <si>
    <t>Upland calcareous grassland</t>
  </si>
  <si>
    <t>Upland flushes fens and swamps</t>
  </si>
  <si>
    <t>Upland hay meadow</t>
  </si>
  <si>
    <t>Peat restoration as of March 2025</t>
  </si>
  <si>
    <t>-</t>
  </si>
  <si>
    <t>Numbers by 2030, 2042, 2050; assume a linear trajectory to get there</t>
  </si>
  <si>
    <t>Linear restoration from 2025</t>
  </si>
  <si>
    <t>Same PHI broad habitat ratio as extant</t>
  </si>
  <si>
    <t>Assume 2025 start for all but tgts 7, 8 - 2021 for those</t>
  </si>
  <si>
    <t>Assume 60% of Coastal Habitat potential realised</t>
  </si>
  <si>
    <t>Use proportion of SSSI area that is peat to estimate for the no. of features that are NOT peat. Assume that if 80% actions on track by 2042, will meet Tgt 3</t>
  </si>
  <si>
    <t>Woodland creation 2022-23</t>
  </si>
  <si>
    <t>Assume linear progression</t>
  </si>
  <si>
    <t>Year</t>
  </si>
  <si>
    <t>Tgt 7 by 2028 for Tgt 3</t>
  </si>
  <si>
    <t>Tgt 7 by 2042 for Tgt 2</t>
  </si>
  <si>
    <t>Tgts 2, 3 work</t>
  </si>
  <si>
    <t>SSSI Features in PLs - need split peat/non-peat?</t>
  </si>
  <si>
    <t>Est Peat features</t>
  </si>
  <si>
    <t>Tgt 5 by 2030</t>
  </si>
  <si>
    <t>Tgt 4 by 2042</t>
  </si>
  <si>
    <t>Assume target 5 is bringing extant PHI into management</t>
  </si>
  <si>
    <t>Paul Leadbitter (£5-20k but had project lined up at £775/ha) - use £10k</t>
  </si>
  <si>
    <t>Accounted for by tgt 5</t>
  </si>
  <si>
    <t>Use average of wood, freshwater and grassland</t>
  </si>
  <si>
    <t>Totals</t>
  </si>
  <si>
    <t>Maintain on PHI/SSSI</t>
  </si>
  <si>
    <t>Average area per SSSI feature</t>
  </si>
  <si>
    <t>Proportion of Tgt 7 that is deciduous and inc in Tgt 1</t>
  </si>
  <si>
    <t>Proportion of Tgt 8 that is outside SSSIs</t>
  </si>
  <si>
    <t>CCT4: Creation of inter-tidal and saline habitat on arable land</t>
  </si>
  <si>
    <t>CCT5: Creation of inter-tidal and saline habitat by non-intervention</t>
  </si>
  <si>
    <t>CCT7: Creation of inter-tidal and saline habitat on intensive grassland</t>
  </si>
  <si>
    <t>CWT9: Create fen, reedbed or wetland mosaics</t>
  </si>
  <si>
    <t>CPS2: Rewetting supplement</t>
  </si>
  <si>
    <t>CWT10: Manage lowland raised bog</t>
  </si>
  <si>
    <t>CLH2: Restore lowland heathland</t>
  </si>
  <si>
    <t>CIPM2: Flower-rich grass margins, blocks or in-field strips</t>
  </si>
  <si>
    <t>CLH3: Create lowland heathland</t>
  </si>
  <si>
    <t>CGS22: Manage priority habuitat species-rich grassland (endorsed is GRH6)</t>
  </si>
  <si>
    <t>CWD8: Create scrub and open mosaic habitats</t>
  </si>
  <si>
    <t>CBE5: Create of traditional orchards</t>
  </si>
  <si>
    <t>CWD20: Create wood pasture</t>
  </si>
  <si>
    <t>Deep Peat inside SSSIs</t>
  </si>
  <si>
    <t>Bring in management/Maintain Managmenet</t>
  </si>
  <si>
    <t>Restore/Create</t>
  </si>
  <si>
    <t>Project development</t>
  </si>
  <si>
    <t>SSSI 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</si>
</sst>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&quot;£&quot;#,##0"/>
    <numFmt numFmtId="167" formatCode="#,##0;[Red]#,##0"/>
    <numFmt numFmtId="168" formatCode="#,##0.0"/>
  </numFmts>
  <fonts count="50" x14ac:knownFonts="1">
    <font>
      <sz val="11"/>
      <color theme="1"/>
      <name val="Aptos Narrow"/>
      <family val="2"/>
      <scheme val="minor"/>
    </font>
    <font>
      <sz val="11"/>
      <color theme="1"/>
      <name val="Effra"/>
      <family val="2"/>
    </font>
    <font>
      <sz val="11"/>
      <color theme="1"/>
      <name val="Effra"/>
      <family val="2"/>
    </font>
    <font>
      <sz val="11"/>
      <color theme="1"/>
      <name val="Effra"/>
      <family val="2"/>
    </font>
    <font>
      <sz val="11"/>
      <color theme="1"/>
      <name val="Effra"/>
      <family val="2"/>
    </font>
    <font>
      <sz val="11"/>
      <color theme="1"/>
      <name val="Effra"/>
      <family val="2"/>
    </font>
    <font>
      <sz val="11"/>
      <color theme="1"/>
      <name val="Effra"/>
      <family val="2"/>
    </font>
    <font>
      <sz val="11"/>
      <color theme="1"/>
      <name val="Effra"/>
      <family val="2"/>
    </font>
    <font>
      <sz val="11"/>
      <color theme="1"/>
      <name val="Effra"/>
      <family val="2"/>
    </font>
    <font>
      <sz val="11"/>
      <color theme="1"/>
      <name val="Effra"/>
      <family val="2"/>
    </font>
    <font>
      <sz val="11"/>
      <color theme="1"/>
      <name val="Effra"/>
      <family val="2"/>
    </font>
    <font>
      <sz val="11"/>
      <color theme="1"/>
      <name val="Effra"/>
      <family val="2"/>
    </font>
    <font>
      <sz val="11"/>
      <color theme="1"/>
      <name val="Effra"/>
      <family val="2"/>
    </font>
    <font>
      <sz val="11"/>
      <color theme="1"/>
      <name val="Effra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Effra"/>
      <family val="2"/>
    </font>
    <font>
      <b/>
      <i/>
      <sz val="11"/>
      <color theme="1"/>
      <name val="Effra"/>
      <family val="2"/>
    </font>
    <font>
      <i/>
      <sz val="11"/>
      <color theme="1"/>
      <name val="Effra"/>
      <family val="2"/>
    </font>
    <font>
      <i/>
      <sz val="10"/>
      <color theme="1"/>
      <name val="Effra"/>
      <family val="2"/>
    </font>
    <font>
      <sz val="10"/>
      <color theme="1"/>
      <name val="Effra"/>
      <family val="2"/>
    </font>
    <font>
      <b/>
      <sz val="12"/>
      <color theme="1"/>
      <name val="Effra"/>
      <family val="2"/>
    </font>
    <font>
      <u/>
      <sz val="11"/>
      <color theme="10"/>
      <name val="Aptos Narrow"/>
      <family val="2"/>
      <scheme val="minor"/>
    </font>
    <font>
      <b/>
      <sz val="11"/>
      <color theme="0" tint="-0.499984740745262"/>
      <name val="Effra"/>
      <family val="2"/>
    </font>
    <font>
      <sz val="11"/>
      <color theme="0" tint="-0.499984740745262"/>
      <name val="Effra"/>
      <family val="2"/>
    </font>
    <font>
      <sz val="12"/>
      <color theme="1"/>
      <name val="Effra"/>
      <family val="2"/>
    </font>
    <font>
      <sz val="11"/>
      <name val="Effra"/>
      <family val="2"/>
    </font>
    <font>
      <sz val="11"/>
      <color rgb="FFFF0000"/>
      <name val="Effra"/>
      <family val="2"/>
    </font>
    <font>
      <sz val="12"/>
      <color rgb="FFFF0000"/>
      <name val="Effra"/>
      <family val="2"/>
    </font>
    <font>
      <sz val="10"/>
      <color rgb="FFFF0000"/>
      <name val="Effra"/>
      <family val="2"/>
    </font>
    <font>
      <sz val="11"/>
      <color theme="1"/>
      <name val="Effra"/>
      <family val="2"/>
    </font>
    <font>
      <sz val="8"/>
      <color rgb="FF000000"/>
      <name val="MS Sans Serif"/>
    </font>
    <font>
      <b/>
      <sz val="12"/>
      <color rgb="FF000000"/>
      <name val="Effra"/>
      <family val="2"/>
    </font>
    <font>
      <u/>
      <sz val="12"/>
      <name val="Effra"/>
      <family val="2"/>
    </font>
    <font>
      <sz val="12"/>
      <color rgb="FF000000"/>
      <name val="Effra"/>
      <family val="2"/>
    </font>
    <font>
      <b/>
      <strike/>
      <sz val="11"/>
      <color theme="1"/>
      <name val="Effra"/>
      <family val="2"/>
    </font>
    <font>
      <strike/>
      <sz val="11"/>
      <color rgb="FFFF0000"/>
      <name val="Effra"/>
      <family val="2"/>
    </font>
    <font>
      <strike/>
      <sz val="10"/>
      <color theme="1"/>
      <name val="Effra"/>
      <family val="2"/>
    </font>
    <font>
      <i/>
      <sz val="10"/>
      <color theme="1"/>
      <name val="Aptos Narrow"/>
      <family val="2"/>
      <scheme val="minor"/>
    </font>
    <font>
      <b/>
      <sz val="11"/>
      <color theme="0" tint="-0.249977111117893"/>
      <name val="Effra"/>
      <family val="2"/>
    </font>
    <font>
      <sz val="11"/>
      <color theme="0" tint="-0.249977111117893"/>
      <name val="Effra"/>
      <family val="2"/>
    </font>
    <font>
      <i/>
      <sz val="10"/>
      <color theme="0" tint="-0.249977111117893"/>
      <name val="Effra"/>
      <family val="2"/>
    </font>
    <font>
      <b/>
      <sz val="11"/>
      <name val="Effra"/>
      <family val="2"/>
    </font>
    <font>
      <sz val="11"/>
      <color theme="0" tint="-0.34998626667073579"/>
      <name val="Effra"/>
      <family val="2"/>
    </font>
    <font>
      <b/>
      <i/>
      <sz val="11"/>
      <name val="Effra"/>
      <family val="2"/>
    </font>
    <font>
      <strike/>
      <sz val="11"/>
      <color theme="0" tint="-0.249977111117893"/>
      <name val="Effra"/>
      <family val="2"/>
    </font>
    <font>
      <b/>
      <sz val="12"/>
      <color theme="0" tint="-0.249977111117893"/>
      <name val="Effra"/>
      <family val="2"/>
    </font>
    <font>
      <sz val="12"/>
      <color theme="0" tint="-0.249977111117893"/>
      <name val="Effr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33" fillId="0" borderId="0" applyNumberFormat="0" applyFont="0" applyBorder="0" applyAlignment="0">
      <protection locked="0"/>
    </xf>
  </cellStyleXfs>
  <cellXfs count="225">
    <xf numFmtId="0" fontId="0" fillId="0" borderId="0" xfId="0"/>
    <xf numFmtId="0" fontId="13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9" fontId="18" fillId="0" borderId="0" xfId="2" applyFont="1"/>
    <xf numFmtId="9" fontId="13" fillId="0" borderId="0" xfId="2" applyFont="1"/>
    <xf numFmtId="164" fontId="13" fillId="0" borderId="0" xfId="1" applyNumberFormat="1" applyFont="1" applyAlignment="1">
      <alignment horizontal="right"/>
    </xf>
    <xf numFmtId="164" fontId="13" fillId="0" borderId="0" xfId="0" applyNumberFormat="1" applyFont="1"/>
    <xf numFmtId="164" fontId="13" fillId="0" borderId="0" xfId="1" applyNumberFormat="1" applyFont="1"/>
    <xf numFmtId="0" fontId="18" fillId="2" borderId="0" xfId="0" applyFont="1" applyFill="1"/>
    <xf numFmtId="164" fontId="18" fillId="0" borderId="0" xfId="1" applyNumberFormat="1" applyFont="1" applyAlignment="1">
      <alignment horizontal="center"/>
    </xf>
    <xf numFmtId="9" fontId="13" fillId="0" borderId="0" xfId="2" applyFont="1" applyAlignment="1">
      <alignment horizontal="center"/>
    </xf>
    <xf numFmtId="0" fontId="21" fillId="0" borderId="0" xfId="0" applyFont="1" applyAlignment="1">
      <alignment horizontal="right"/>
    </xf>
    <xf numFmtId="0" fontId="23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2" fillId="0" borderId="0" xfId="0" applyFont="1"/>
    <xf numFmtId="166" fontId="12" fillId="0" borderId="0" xfId="0" applyNumberFormat="1" applyFont="1"/>
    <xf numFmtId="166" fontId="18" fillId="0" borderId="0" xfId="0" applyNumberFormat="1" applyFont="1"/>
    <xf numFmtId="0" fontId="25" fillId="0" borderId="0" xfId="0" applyFont="1" applyAlignment="1">
      <alignment horizontal="left" vertical="center"/>
    </xf>
    <xf numFmtId="0" fontId="26" fillId="0" borderId="0" xfId="0" applyFont="1"/>
    <xf numFmtId="0" fontId="27" fillId="0" borderId="0" xfId="0" applyFont="1"/>
    <xf numFmtId="166" fontId="23" fillId="0" borderId="0" xfId="0" applyNumberFormat="1" applyFont="1"/>
    <xf numFmtId="0" fontId="24" fillId="0" borderId="0" xfId="3"/>
    <xf numFmtId="166" fontId="26" fillId="0" borderId="0" xfId="0" applyNumberFormat="1" applyFont="1"/>
    <xf numFmtId="0" fontId="24" fillId="0" borderId="0" xfId="3" applyFill="1"/>
    <xf numFmtId="0" fontId="10" fillId="0" borderId="0" xfId="0" applyFont="1"/>
    <xf numFmtId="0" fontId="23" fillId="0" borderId="5" xfId="0" applyFont="1" applyBorder="1"/>
    <xf numFmtId="0" fontId="9" fillId="0" borderId="0" xfId="0" applyFont="1"/>
    <xf numFmtId="3" fontId="13" fillId="0" borderId="0" xfId="0" applyNumberFormat="1" applyFont="1"/>
    <xf numFmtId="9" fontId="13" fillId="0" borderId="0" xfId="2" applyFont="1" applyFill="1" applyAlignment="1">
      <alignment horizontal="center"/>
    </xf>
    <xf numFmtId="0" fontId="21" fillId="0" borderId="0" xfId="0" applyFont="1"/>
    <xf numFmtId="167" fontId="23" fillId="0" borderId="0" xfId="0" applyNumberFormat="1" applyFont="1" applyAlignment="1">
      <alignment horizontal="right"/>
    </xf>
    <xf numFmtId="3" fontId="23" fillId="0" borderId="0" xfId="0" applyNumberFormat="1" applyFont="1"/>
    <xf numFmtId="3" fontId="18" fillId="3" borderId="0" xfId="1" applyNumberFormat="1" applyFont="1" applyFill="1"/>
    <xf numFmtId="3" fontId="21" fillId="3" borderId="0" xfId="0" applyNumberFormat="1" applyFont="1" applyFill="1"/>
    <xf numFmtId="9" fontId="29" fillId="0" borderId="0" xfId="2" applyFont="1" applyFill="1" applyAlignment="1">
      <alignment horizontal="center"/>
    </xf>
    <xf numFmtId="3" fontId="30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3" fontId="29" fillId="0" borderId="0" xfId="1" applyNumberFormat="1" applyFont="1" applyFill="1" applyAlignment="1">
      <alignment horizontal="center"/>
    </xf>
    <xf numFmtId="167" fontId="30" fillId="0" borderId="0" xfId="0" applyNumberFormat="1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6" fontId="12" fillId="0" borderId="0" xfId="0" applyNumberFormat="1" applyFont="1"/>
    <xf numFmtId="0" fontId="8" fillId="0" borderId="0" xfId="0" applyFont="1"/>
    <xf numFmtId="0" fontId="6" fillId="0" borderId="0" xfId="0" applyFont="1"/>
    <xf numFmtId="0" fontId="32" fillId="0" borderId="0" xfId="0" applyFont="1"/>
    <xf numFmtId="0" fontId="23" fillId="0" borderId="1" xfId="0" applyFont="1" applyBorder="1"/>
    <xf numFmtId="0" fontId="34" fillId="0" borderId="1" xfId="0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0" fontId="23" fillId="0" borderId="12" xfId="0" applyFont="1" applyBorder="1"/>
    <xf numFmtId="0" fontId="23" fillId="0" borderId="2" xfId="0" applyFont="1" applyBorder="1"/>
    <xf numFmtId="0" fontId="35" fillId="4" borderId="5" xfId="3" applyFont="1" applyFill="1" applyBorder="1" applyAlignment="1">
      <alignment vertical="center"/>
    </xf>
    <xf numFmtId="0" fontId="36" fillId="4" borderId="5" xfId="0" applyFont="1" applyFill="1" applyBorder="1" applyAlignment="1">
      <alignment vertical="center"/>
    </xf>
    <xf numFmtId="0" fontId="27" fillId="4" borderId="0" xfId="0" applyFont="1" applyFill="1"/>
    <xf numFmtId="166" fontId="27" fillId="4" borderId="6" xfId="0" applyNumberFormat="1" applyFont="1" applyFill="1" applyBorder="1"/>
    <xf numFmtId="0" fontId="27" fillId="4" borderId="8" xfId="0" applyFont="1" applyFill="1" applyBorder="1"/>
    <xf numFmtId="0" fontId="27" fillId="4" borderId="6" xfId="0" applyFont="1" applyFill="1" applyBorder="1"/>
    <xf numFmtId="0" fontId="27" fillId="0" borderId="7" xfId="0" applyFont="1" applyBorder="1"/>
    <xf numFmtId="0" fontId="35" fillId="6" borderId="5" xfId="3" applyFont="1" applyFill="1" applyBorder="1" applyAlignment="1">
      <alignment vertical="center"/>
    </xf>
    <xf numFmtId="0" fontId="36" fillId="6" borderId="5" xfId="0" applyFont="1" applyFill="1" applyBorder="1" applyAlignment="1">
      <alignment vertical="center"/>
    </xf>
    <xf numFmtId="0" fontId="27" fillId="6" borderId="0" xfId="0" applyFont="1" applyFill="1"/>
    <xf numFmtId="166" fontId="27" fillId="6" borderId="6" xfId="0" applyNumberFormat="1" applyFont="1" applyFill="1" applyBorder="1"/>
    <xf numFmtId="166" fontId="27" fillId="6" borderId="6" xfId="0" applyNumberFormat="1" applyFont="1" applyFill="1" applyBorder="1" applyAlignment="1">
      <alignment wrapText="1"/>
    </xf>
    <xf numFmtId="0" fontId="27" fillId="6" borderId="8" xfId="0" applyFont="1" applyFill="1" applyBorder="1"/>
    <xf numFmtId="0" fontId="27" fillId="0" borderId="0" xfId="0" applyFont="1" applyAlignment="1">
      <alignment wrapText="1"/>
    </xf>
    <xf numFmtId="0" fontId="27" fillId="6" borderId="6" xfId="0" applyFont="1" applyFill="1" applyBorder="1"/>
    <xf numFmtId="0" fontId="27" fillId="6" borderId="8" xfId="0" applyFont="1" applyFill="1" applyBorder="1" applyAlignment="1">
      <alignment wrapText="1"/>
    </xf>
    <xf numFmtId="0" fontId="27" fillId="0" borderId="8" xfId="0" applyFont="1" applyBorder="1"/>
    <xf numFmtId="0" fontId="27" fillId="0" borderId="4" xfId="0" applyFont="1" applyBorder="1"/>
    <xf numFmtId="0" fontId="27" fillId="2" borderId="0" xfId="0" applyFont="1" applyFill="1"/>
    <xf numFmtId="0" fontId="27" fillId="2" borderId="10" xfId="0" applyFont="1" applyFill="1" applyBorder="1"/>
    <xf numFmtId="0" fontId="35" fillId="4" borderId="9" xfId="3" applyFont="1" applyFill="1" applyBorder="1" applyAlignment="1">
      <alignment vertical="center"/>
    </xf>
    <xf numFmtId="0" fontId="36" fillId="4" borderId="9" xfId="0" applyFont="1" applyFill="1" applyBorder="1" applyAlignment="1">
      <alignment vertical="center"/>
    </xf>
    <xf numFmtId="0" fontId="27" fillId="4" borderId="15" xfId="0" applyFont="1" applyFill="1" applyBorder="1"/>
    <xf numFmtId="166" fontId="27" fillId="4" borderId="9" xfId="0" applyNumberFormat="1" applyFont="1" applyFill="1" applyBorder="1"/>
    <xf numFmtId="0" fontId="27" fillId="6" borderId="15" xfId="0" applyFont="1" applyFill="1" applyBorder="1"/>
    <xf numFmtId="0" fontId="35" fillId="6" borderId="9" xfId="3" applyFont="1" applyFill="1" applyBorder="1" applyAlignment="1">
      <alignment vertical="center" wrapText="1"/>
    </xf>
    <xf numFmtId="0" fontId="36" fillId="6" borderId="9" xfId="0" applyFont="1" applyFill="1" applyBorder="1" applyAlignment="1">
      <alignment vertical="center" wrapText="1"/>
    </xf>
    <xf numFmtId="166" fontId="27" fillId="6" borderId="9" xfId="0" applyNumberFormat="1" applyFont="1" applyFill="1" applyBorder="1" applyAlignment="1">
      <alignment wrapText="1"/>
    </xf>
    <xf numFmtId="0" fontId="36" fillId="6" borderId="16" xfId="0" applyFont="1" applyFill="1" applyBorder="1" applyAlignment="1">
      <alignment vertical="center" wrapText="1"/>
    </xf>
    <xf numFmtId="0" fontId="27" fillId="6" borderId="17" xfId="0" applyFont="1" applyFill="1" applyBorder="1"/>
    <xf numFmtId="0" fontId="28" fillId="6" borderId="9" xfId="3" applyFont="1" applyFill="1" applyBorder="1" applyAlignment="1">
      <alignment vertical="center" wrapText="1"/>
    </xf>
    <xf numFmtId="0" fontId="27" fillId="2" borderId="15" xfId="0" applyFont="1" applyFill="1" applyBorder="1"/>
    <xf numFmtId="0" fontId="35" fillId="2" borderId="6" xfId="3" applyFont="1" applyFill="1" applyBorder="1" applyAlignment="1">
      <alignment vertical="center"/>
    </xf>
    <xf numFmtId="0" fontId="36" fillId="2" borderId="8" xfId="0" applyFont="1" applyFill="1" applyBorder="1" applyAlignment="1">
      <alignment vertical="center"/>
    </xf>
    <xf numFmtId="166" fontId="27" fillId="2" borderId="6" xfId="0" applyNumberFormat="1" applyFont="1" applyFill="1" applyBorder="1"/>
    <xf numFmtId="0" fontId="35" fillId="2" borderId="9" xfId="3" applyFont="1" applyFill="1" applyBorder="1" applyAlignment="1">
      <alignment vertical="center"/>
    </xf>
    <xf numFmtId="0" fontId="36" fillId="2" borderId="16" xfId="0" applyFont="1" applyFill="1" applyBorder="1" applyAlignment="1">
      <alignment vertical="center"/>
    </xf>
    <xf numFmtId="166" fontId="27" fillId="2" borderId="9" xfId="0" applyNumberFormat="1" applyFont="1" applyFill="1" applyBorder="1"/>
    <xf numFmtId="0" fontId="35" fillId="2" borderId="3" xfId="3" applyFont="1" applyFill="1" applyBorder="1" applyAlignment="1">
      <alignment vertical="center"/>
    </xf>
    <xf numFmtId="0" fontId="36" fillId="2" borderId="4" xfId="0" applyFont="1" applyFill="1" applyBorder="1" applyAlignment="1">
      <alignment vertical="center"/>
    </xf>
    <xf numFmtId="166" fontId="27" fillId="2" borderId="3" xfId="0" applyNumberFormat="1" applyFont="1" applyFill="1" applyBorder="1"/>
    <xf numFmtId="0" fontId="27" fillId="2" borderId="8" xfId="0" applyFont="1" applyFill="1" applyBorder="1"/>
    <xf numFmtId="0" fontId="27" fillId="2" borderId="6" xfId="0" applyFont="1" applyFill="1" applyBorder="1"/>
    <xf numFmtId="0" fontId="27" fillId="2" borderId="3" xfId="0" applyFont="1" applyFill="1" applyBorder="1"/>
    <xf numFmtId="0" fontId="27" fillId="2" borderId="4" xfId="0" applyFont="1" applyFill="1" applyBorder="1"/>
    <xf numFmtId="0" fontId="35" fillId="5" borderId="6" xfId="3" applyFont="1" applyFill="1" applyBorder="1" applyAlignment="1">
      <alignment vertical="center"/>
    </xf>
    <xf numFmtId="0" fontId="36" fillId="5" borderId="8" xfId="0" applyFont="1" applyFill="1" applyBorder="1" applyAlignment="1">
      <alignment vertical="center"/>
    </xf>
    <xf numFmtId="0" fontId="27" fillId="5" borderId="0" xfId="0" applyFont="1" applyFill="1"/>
    <xf numFmtId="166" fontId="27" fillId="5" borderId="6" xfId="0" applyNumberFormat="1" applyFont="1" applyFill="1" applyBorder="1"/>
    <xf numFmtId="0" fontId="27" fillId="5" borderId="8" xfId="0" applyFont="1" applyFill="1" applyBorder="1"/>
    <xf numFmtId="0" fontId="35" fillId="5" borderId="9" xfId="3" applyFont="1" applyFill="1" applyBorder="1" applyAlignment="1">
      <alignment vertical="center"/>
    </xf>
    <xf numFmtId="0" fontId="36" fillId="5" borderId="16" xfId="0" applyFont="1" applyFill="1" applyBorder="1" applyAlignment="1">
      <alignment vertical="center"/>
    </xf>
    <xf numFmtId="0" fontId="27" fillId="5" borderId="15" xfId="0" applyFont="1" applyFill="1" applyBorder="1"/>
    <xf numFmtId="166" fontId="27" fillId="5" borderId="9" xfId="0" applyNumberFormat="1" applyFont="1" applyFill="1" applyBorder="1"/>
    <xf numFmtId="0" fontId="27" fillId="5" borderId="6" xfId="0" applyFont="1" applyFill="1" applyBorder="1"/>
    <xf numFmtId="0" fontId="35" fillId="5" borderId="3" xfId="3" applyFont="1" applyFill="1" applyBorder="1" applyAlignment="1">
      <alignment vertical="center"/>
    </xf>
    <xf numFmtId="0" fontId="27" fillId="5" borderId="14" xfId="0" applyFont="1" applyFill="1" applyBorder="1"/>
    <xf numFmtId="166" fontId="27" fillId="5" borderId="3" xfId="0" applyNumberFormat="1" applyFont="1" applyFill="1" applyBorder="1"/>
    <xf numFmtId="0" fontId="27" fillId="5" borderId="3" xfId="0" applyFont="1" applyFill="1" applyBorder="1"/>
    <xf numFmtId="0" fontId="27" fillId="5" borderId="4" xfId="0" applyFont="1" applyFill="1" applyBorder="1"/>
    <xf numFmtId="0" fontId="35" fillId="7" borderId="6" xfId="3" applyFont="1" applyFill="1" applyBorder="1" applyAlignment="1">
      <alignment vertical="center"/>
    </xf>
    <xf numFmtId="0" fontId="27" fillId="7" borderId="0" xfId="0" applyFont="1" applyFill="1"/>
    <xf numFmtId="166" fontId="27" fillId="7" borderId="6" xfId="0" applyNumberFormat="1" applyFont="1" applyFill="1" applyBorder="1"/>
    <xf numFmtId="0" fontId="27" fillId="7" borderId="8" xfId="0" applyFont="1" applyFill="1" applyBorder="1"/>
    <xf numFmtId="0" fontId="35" fillId="7" borderId="9" xfId="3" applyFont="1" applyFill="1" applyBorder="1" applyAlignment="1">
      <alignment vertical="center"/>
    </xf>
    <xf numFmtId="0" fontId="27" fillId="7" borderId="15" xfId="0" applyFont="1" applyFill="1" applyBorder="1"/>
    <xf numFmtId="166" fontId="27" fillId="7" borderId="9" xfId="0" applyNumberFormat="1" applyFont="1" applyFill="1" applyBorder="1"/>
    <xf numFmtId="0" fontId="27" fillId="7" borderId="6" xfId="0" applyFont="1" applyFill="1" applyBorder="1"/>
    <xf numFmtId="0" fontId="35" fillId="7" borderId="3" xfId="3" applyFont="1" applyFill="1" applyBorder="1" applyAlignment="1">
      <alignment vertical="center"/>
    </xf>
    <xf numFmtId="0" fontId="36" fillId="7" borderId="4" xfId="0" applyFont="1" applyFill="1" applyBorder="1" applyAlignment="1">
      <alignment vertical="center"/>
    </xf>
    <xf numFmtId="0" fontId="27" fillId="7" borderId="10" xfId="0" applyFont="1" applyFill="1" applyBorder="1"/>
    <xf numFmtId="166" fontId="27" fillId="7" borderId="3" xfId="0" applyNumberFormat="1" applyFont="1" applyFill="1" applyBorder="1"/>
    <xf numFmtId="0" fontId="27" fillId="7" borderId="3" xfId="0" applyFont="1" applyFill="1" applyBorder="1"/>
    <xf numFmtId="0" fontId="27" fillId="7" borderId="4" xfId="0" applyFont="1" applyFill="1" applyBorder="1"/>
    <xf numFmtId="0" fontId="23" fillId="0" borderId="11" xfId="0" applyFont="1" applyBorder="1"/>
    <xf numFmtId="0" fontId="23" fillId="0" borderId="13" xfId="0" applyFont="1" applyBorder="1"/>
    <xf numFmtId="0" fontId="23" fillId="0" borderId="10" xfId="0" applyFont="1" applyBorder="1"/>
    <xf numFmtId="165" fontId="23" fillId="0" borderId="5" xfId="0" applyNumberFormat="1" applyFont="1" applyBorder="1"/>
    <xf numFmtId="0" fontId="27" fillId="6" borderId="7" xfId="0" applyFont="1" applyFill="1" applyBorder="1"/>
    <xf numFmtId="0" fontId="27" fillId="2" borderId="7" xfId="0" applyFont="1" applyFill="1" applyBorder="1"/>
    <xf numFmtId="0" fontId="27" fillId="5" borderId="10" xfId="0" applyFont="1" applyFill="1" applyBorder="1"/>
    <xf numFmtId="0" fontId="27" fillId="4" borderId="11" xfId="0" applyFont="1" applyFill="1" applyBorder="1"/>
    <xf numFmtId="0" fontId="27" fillId="0" borderId="13" xfId="0" applyFont="1" applyBorder="1"/>
    <xf numFmtId="168" fontId="27" fillId="2" borderId="5" xfId="0" applyNumberFormat="1" applyFont="1" applyFill="1" applyBorder="1"/>
    <xf numFmtId="168" fontId="27" fillId="4" borderId="6" xfId="0" applyNumberFormat="1" applyFont="1" applyFill="1" applyBorder="1"/>
    <xf numFmtId="168" fontId="27" fillId="5" borderId="6" xfId="0" applyNumberFormat="1" applyFont="1" applyFill="1" applyBorder="1"/>
    <xf numFmtId="168" fontId="27" fillId="2" borderId="6" xfId="0" applyNumberFormat="1" applyFont="1" applyFill="1" applyBorder="1"/>
    <xf numFmtId="168" fontId="27" fillId="6" borderId="6" xfId="0" applyNumberFormat="1" applyFont="1" applyFill="1" applyBorder="1"/>
    <xf numFmtId="168" fontId="27" fillId="0" borderId="3" xfId="0" applyNumberFormat="1" applyFont="1" applyBorder="1"/>
    <xf numFmtId="3" fontId="27" fillId="4" borderId="5" xfId="0" applyNumberFormat="1" applyFont="1" applyFill="1" applyBorder="1"/>
    <xf numFmtId="3" fontId="27" fillId="6" borderId="6" xfId="0" applyNumberFormat="1" applyFont="1" applyFill="1" applyBorder="1"/>
    <xf numFmtId="3" fontId="27" fillId="2" borderId="6" xfId="0" applyNumberFormat="1" applyFont="1" applyFill="1" applyBorder="1"/>
    <xf numFmtId="3" fontId="27" fillId="5" borderId="3" xfId="0" applyNumberFormat="1" applyFont="1" applyFill="1" applyBorder="1"/>
    <xf numFmtId="168" fontId="27" fillId="7" borderId="6" xfId="0" applyNumberFormat="1" applyFont="1" applyFill="1" applyBorder="1"/>
    <xf numFmtId="0" fontId="22" fillId="0" borderId="0" xfId="0" applyFont="1"/>
    <xf numFmtId="0" fontId="37" fillId="2" borderId="0" xfId="0" applyFont="1" applyFill="1"/>
    <xf numFmtId="3" fontId="38" fillId="0" borderId="0" xfId="0" applyNumberFormat="1" applyFont="1" applyAlignment="1">
      <alignment horizontal="center"/>
    </xf>
    <xf numFmtId="0" fontId="39" fillId="0" borderId="0" xfId="0" applyFont="1"/>
    <xf numFmtId="0" fontId="38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3" fontId="5" fillId="0" borderId="0" xfId="0" applyNumberFormat="1" applyFont="1"/>
    <xf numFmtId="0" fontId="7" fillId="0" borderId="0" xfId="0" applyFont="1"/>
    <xf numFmtId="166" fontId="11" fillId="0" borderId="0" xfId="0" applyNumberFormat="1" applyFont="1" applyAlignment="1">
      <alignment horizontal="center"/>
    </xf>
    <xf numFmtId="164" fontId="18" fillId="0" borderId="0" xfId="1" applyNumberFormat="1" applyFont="1"/>
    <xf numFmtId="0" fontId="4" fillId="0" borderId="0" xfId="0" applyFont="1"/>
    <xf numFmtId="164" fontId="4" fillId="0" borderId="0" xfId="1" applyNumberFormat="1" applyFont="1" applyAlignment="1">
      <alignment horizontal="right"/>
    </xf>
    <xf numFmtId="164" fontId="4" fillId="0" borderId="0" xfId="1" applyNumberFormat="1" applyFont="1"/>
    <xf numFmtId="0" fontId="4" fillId="0" borderId="0" xfId="1" applyNumberFormat="1" applyFont="1" applyAlignment="1">
      <alignment horizontal="center"/>
    </xf>
    <xf numFmtId="164" fontId="4" fillId="0" borderId="0" xfId="0" applyNumberFormat="1" applyFont="1"/>
    <xf numFmtId="164" fontId="4" fillId="0" borderId="0" xfId="1" applyNumberFormat="1" applyFont="1" applyFill="1"/>
    <xf numFmtId="9" fontId="4" fillId="0" borderId="0" xfId="2" applyFont="1" applyAlignment="1">
      <alignment horizontal="center"/>
    </xf>
    <xf numFmtId="9" fontId="21" fillId="0" borderId="0" xfId="2" applyFont="1"/>
    <xf numFmtId="9" fontId="21" fillId="0" borderId="0" xfId="2" applyFont="1" applyAlignment="1">
      <alignment horizontal="left"/>
    </xf>
    <xf numFmtId="0" fontId="21" fillId="0" borderId="0" xfId="1" applyNumberFormat="1" applyFont="1" applyAlignment="1">
      <alignment horizontal="left"/>
    </xf>
    <xf numFmtId="0" fontId="21" fillId="0" borderId="0" xfId="1" applyNumberFormat="1" applyFont="1" applyAlignment="1">
      <alignment horizontal="center"/>
    </xf>
    <xf numFmtId="0" fontId="40" fillId="0" borderId="0" xfId="0" applyFont="1"/>
    <xf numFmtId="164" fontId="4" fillId="2" borderId="0" xfId="0" applyNumberFormat="1" applyFont="1" applyFill="1"/>
    <xf numFmtId="3" fontId="39" fillId="0" borderId="0" xfId="1" applyNumberFormat="1" applyFont="1"/>
    <xf numFmtId="0" fontId="27" fillId="0" borderId="11" xfId="0" applyFont="1" applyBorder="1"/>
    <xf numFmtId="0" fontId="27" fillId="0" borderId="10" xfId="0" applyFont="1" applyBorder="1"/>
    <xf numFmtId="168" fontId="27" fillId="2" borderId="3" xfId="0" applyNumberFormat="1" applyFont="1" applyFill="1" applyBorder="1"/>
    <xf numFmtId="3" fontId="18" fillId="0" borderId="0" xfId="1" applyNumberFormat="1" applyFont="1" applyFill="1" applyAlignment="1">
      <alignment horizontal="right"/>
    </xf>
    <xf numFmtId="3" fontId="18" fillId="0" borderId="0" xfId="1" applyNumberFormat="1" applyFont="1" applyFill="1"/>
    <xf numFmtId="0" fontId="18" fillId="0" borderId="0" xfId="0" applyFont="1" applyAlignment="1">
      <alignment horizontal="right"/>
    </xf>
    <xf numFmtId="3" fontId="4" fillId="0" borderId="0" xfId="1" applyNumberFormat="1" applyFont="1" applyFill="1" applyAlignment="1">
      <alignment horizontal="right"/>
    </xf>
    <xf numFmtId="0" fontId="18" fillId="2" borderId="0" xfId="0" applyFont="1" applyFill="1" applyAlignment="1">
      <alignment horizontal="center"/>
    </xf>
    <xf numFmtId="3" fontId="19" fillId="0" borderId="0" xfId="1" applyNumberFormat="1" applyFont="1" applyFill="1" applyAlignment="1">
      <alignment horizontal="right"/>
    </xf>
    <xf numFmtId="3" fontId="41" fillId="0" borderId="0" xfId="1" applyNumberFormat="1" applyFont="1" applyFill="1" applyAlignment="1">
      <alignment horizontal="right"/>
    </xf>
    <xf numFmtId="0" fontId="41" fillId="0" borderId="0" xfId="0" applyFont="1"/>
    <xf numFmtId="164" fontId="42" fillId="0" borderId="0" xfId="1" applyNumberFormat="1" applyFont="1"/>
    <xf numFmtId="0" fontId="43" fillId="0" borderId="0" xfId="0" applyFont="1"/>
    <xf numFmtId="0" fontId="44" fillId="0" borderId="0" xfId="0" applyFont="1"/>
    <xf numFmtId="164" fontId="28" fillId="0" borderId="0" xfId="1" applyNumberFormat="1" applyFont="1" applyFill="1"/>
    <xf numFmtId="164" fontId="45" fillId="0" borderId="0" xfId="1" applyNumberFormat="1" applyFont="1" applyFill="1"/>
    <xf numFmtId="0" fontId="44" fillId="0" borderId="0" xfId="0" applyFont="1" applyAlignment="1">
      <alignment horizontal="right"/>
    </xf>
    <xf numFmtId="3" fontId="44" fillId="0" borderId="0" xfId="1" applyNumberFormat="1" applyFont="1" applyFill="1" applyAlignment="1">
      <alignment horizontal="right"/>
    </xf>
    <xf numFmtId="3" fontId="46" fillId="0" borderId="0" xfId="1" applyNumberFormat="1" applyFont="1" applyFill="1" applyAlignment="1">
      <alignment horizontal="right"/>
    </xf>
    <xf numFmtId="3" fontId="18" fillId="2" borderId="0" xfId="0" applyNumberFormat="1" applyFont="1" applyFill="1"/>
    <xf numFmtId="3" fontId="46" fillId="2" borderId="0" xfId="1" applyNumberFormat="1" applyFont="1" applyFill="1" applyAlignment="1">
      <alignment horizontal="right"/>
    </xf>
    <xf numFmtId="3" fontId="44" fillId="2" borderId="0" xfId="1" applyNumberFormat="1" applyFont="1" applyFill="1" applyAlignment="1">
      <alignment horizontal="right"/>
    </xf>
    <xf numFmtId="167" fontId="23" fillId="2" borderId="0" xfId="0" applyNumberFormat="1" applyFont="1" applyFill="1" applyAlignment="1">
      <alignment horizontal="right"/>
    </xf>
    <xf numFmtId="167" fontId="18" fillId="2" borderId="0" xfId="0" applyNumberFormat="1" applyFont="1" applyFill="1" applyAlignment="1">
      <alignment horizontal="right"/>
    </xf>
    <xf numFmtId="3" fontId="18" fillId="2" borderId="0" xfId="1" applyNumberFormat="1" applyFont="1" applyFill="1"/>
    <xf numFmtId="164" fontId="13" fillId="0" borderId="0" xfId="1" applyNumberFormat="1" applyFont="1" applyAlignment="1"/>
    <xf numFmtId="167" fontId="18" fillId="3" borderId="0" xfId="0" applyNumberFormat="1" applyFont="1" applyFill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left"/>
    </xf>
    <xf numFmtId="166" fontId="4" fillId="0" borderId="0" xfId="0" applyNumberFormat="1" applyFont="1"/>
    <xf numFmtId="166" fontId="11" fillId="0" borderId="0" xfId="0" applyNumberFormat="1" applyFont="1"/>
    <xf numFmtId="164" fontId="3" fillId="0" borderId="0" xfId="1" applyNumberFormat="1" applyFont="1"/>
    <xf numFmtId="167" fontId="18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43" fontId="21" fillId="0" borderId="0" xfId="0" applyNumberFormat="1" applyFont="1"/>
    <xf numFmtId="0" fontId="36" fillId="8" borderId="4" xfId="0" applyFont="1" applyFill="1" applyBorder="1" applyAlignment="1">
      <alignment vertical="center"/>
    </xf>
    <xf numFmtId="0" fontId="36" fillId="8" borderId="8" xfId="0" applyFont="1" applyFill="1" applyBorder="1" applyAlignment="1">
      <alignment vertical="center"/>
    </xf>
    <xf numFmtId="0" fontId="36" fillId="8" borderId="16" xfId="0" applyFont="1" applyFill="1" applyBorder="1" applyAlignment="1">
      <alignment vertical="center"/>
    </xf>
    <xf numFmtId="0" fontId="47" fillId="0" borderId="0" xfId="0" applyFont="1"/>
    <xf numFmtId="166" fontId="47" fillId="0" borderId="0" xfId="0" applyNumberFormat="1" applyFont="1"/>
    <xf numFmtId="0" fontId="2" fillId="0" borderId="0" xfId="0" applyFont="1" applyAlignment="1">
      <alignment horizontal="right"/>
    </xf>
    <xf numFmtId="9" fontId="12" fillId="0" borderId="0" xfId="2" applyFont="1"/>
    <xf numFmtId="43" fontId="13" fillId="0" borderId="0" xfId="0" applyNumberFormat="1" applyFont="1"/>
    <xf numFmtId="0" fontId="18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Fill="1" applyAlignment="1">
      <alignment horizontal="left"/>
    </xf>
    <xf numFmtId="0" fontId="41" fillId="0" borderId="0" xfId="0" applyFont="1" applyFill="1" applyAlignment="1">
      <alignment horizontal="left"/>
    </xf>
    <xf numFmtId="164" fontId="42" fillId="0" borderId="0" xfId="1" applyNumberFormat="1" applyFont="1" applyFill="1"/>
    <xf numFmtId="9" fontId="43" fillId="0" borderId="0" xfId="2" applyFont="1" applyFill="1" applyAlignment="1">
      <alignment horizontal="left"/>
    </xf>
    <xf numFmtId="0" fontId="41" fillId="0" borderId="0" xfId="0" applyFont="1" applyFill="1"/>
    <xf numFmtId="0" fontId="43" fillId="0" borderId="0" xfId="0" applyFont="1" applyFill="1"/>
    <xf numFmtId="0" fontId="48" fillId="0" borderId="0" xfId="0" applyFont="1"/>
    <xf numFmtId="0" fontId="49" fillId="0" borderId="0" xfId="0" applyFont="1"/>
    <xf numFmtId="1" fontId="49" fillId="0" borderId="0" xfId="0" applyNumberFormat="1" applyFont="1"/>
  </cellXfs>
  <cellStyles count="5">
    <cellStyle name="Comma" xfId="1" builtinId="3"/>
    <cellStyle name="Hyperlink" xfId="3" builtinId="8"/>
    <cellStyle name="Normal" xfId="0" builtinId="0"/>
    <cellStyle name="Normal 3" xfId="4" xr:uid="{A70893A0-EFA0-418A-AF50-72AE7BFE5BD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ssets.publishing.service.gov.uk/media/641c370732a8e0000cfa92a2/WMB_100ha_Financial_study_Mar_23.pdf" TargetMode="External"/><Relationship Id="rId1" Type="http://schemas.openxmlformats.org/officeDocument/2006/relationships/hyperlink" Target="https://www.gov.uk/government/publications/woodland-grants-and-incentives-overview-table/woodland-grants-and-incentives-overview-tabl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efrafarming.blog.gov.uk/2023/11/28/farming-in-protected-landscapes-interim-evaluation-findings/;%20&#163;100m%20over%204%20years,%203,176,412ha;%20assume%20effective%20cover%205%25.%20Intervention%20rate%2050%25" TargetMode="External"/><Relationship Id="rId2" Type="http://schemas.openxmlformats.org/officeDocument/2006/relationships/hyperlink" Target="https://assets.publishing.service.gov.uk/media/641c370732a8e0000cfa92a2/WMB_100ha_Financial_study_Mar_23.pdf" TargetMode="External"/><Relationship Id="rId1" Type="http://schemas.openxmlformats.org/officeDocument/2006/relationships/hyperlink" Target="https://sefari.scot/sites/default/files/documents/The%20costs%20of%20peatland%20restoration%20March%202021.pdf" TargetMode="External"/><Relationship Id="rId4" Type="http://schemas.openxmlformats.org/officeDocument/2006/relationships/hyperlink" Target="https://www.gov.uk/government/publications/woodland-grants-and-incentives-overview-table/woodland-grants-and-incentives-overview-table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uk/countryside-stewardship-grants/pond-management-first-100-sq-m-wn5" TargetMode="External"/><Relationship Id="rId13" Type="http://schemas.openxmlformats.org/officeDocument/2006/relationships/hyperlink" Target="https://www.gov.uk/countryside-stewardship-grants/creation-of-inter-tidal-and-saline-habitat-on-arable-land-ct4" TargetMode="External"/><Relationship Id="rId18" Type="http://schemas.openxmlformats.org/officeDocument/2006/relationships/hyperlink" Target="https://www.gov.uk/countryside-stewardship-grants/management-of-lowland-raised-bog-wt10" TargetMode="External"/><Relationship Id="rId3" Type="http://schemas.openxmlformats.org/officeDocument/2006/relationships/hyperlink" Target="https://www.gov.uk/countryside-stewardship-grants/moorland-re-wetting-supplement-up5" TargetMode="External"/><Relationship Id="rId7" Type="http://schemas.openxmlformats.org/officeDocument/2006/relationships/hyperlink" Target="https://www.gov.uk/countryside-stewardship-grants/creation-of-successional-areas-and-scrub-wd8" TargetMode="External"/><Relationship Id="rId12" Type="http://schemas.openxmlformats.org/officeDocument/2006/relationships/hyperlink" Target="https://www.gov.uk/countryside-stewardship-grants/creation-of-wood-pasture-wd6" TargetMode="External"/><Relationship Id="rId17" Type="http://schemas.openxmlformats.org/officeDocument/2006/relationships/hyperlink" Target="https://www.gov.uk/countryside-stewardship-grants/planting-new-hedges-bn11" TargetMode="External"/><Relationship Id="rId2" Type="http://schemas.openxmlformats.org/officeDocument/2006/relationships/hyperlink" Target="https://www.gov.uk/countryside-stewardship-grants/creation-of-fen-wt9" TargetMode="External"/><Relationship Id="rId16" Type="http://schemas.openxmlformats.org/officeDocument/2006/relationships/hyperlink" Target="https://www.gov.uk/countryside-stewardship-grants/hedgerow-gapping-up-bn7" TargetMode="External"/><Relationship Id="rId1" Type="http://schemas.openxmlformats.org/officeDocument/2006/relationships/hyperlink" Target="https://www.gov.uk/countryside-stewardship-grants/restoration-towards-species-rich-grassland-gs7" TargetMode="External"/><Relationship Id="rId6" Type="http://schemas.openxmlformats.org/officeDocument/2006/relationships/hyperlink" Target="https://www.gov.uk/countryside-stewardship-grants/flower-rich-margins-and-plots-ab8" TargetMode="External"/><Relationship Id="rId11" Type="http://schemas.openxmlformats.org/officeDocument/2006/relationships/hyperlink" Target="https://www.gov.uk/countryside-stewardship-grants/creation-of-traditional-orchards-be5" TargetMode="External"/><Relationship Id="rId5" Type="http://schemas.openxmlformats.org/officeDocument/2006/relationships/hyperlink" Target="https://www.gov.uk/countryside-stewardship-grants/restoration-of-forestry-and-woodland-to-lowland-heathland-lh2" TargetMode="External"/><Relationship Id="rId15" Type="http://schemas.openxmlformats.org/officeDocument/2006/relationships/hyperlink" Target="https://www.gov.uk/countryside-stewardship-grants/creation-of-inter-tidal-and-saline-habitat-on-intensive-grassland-ct7" TargetMode="External"/><Relationship Id="rId10" Type="http://schemas.openxmlformats.org/officeDocument/2006/relationships/hyperlink" Target="https://www.gov.uk/countryside-stewardship-grants/restoration-of-large-water-bodies-wn7" TargetMode="External"/><Relationship Id="rId4" Type="http://schemas.openxmlformats.org/officeDocument/2006/relationships/hyperlink" Target="https://www.gov.uk/countryside-stewardship-grants/creation-of-heathland-from-arable-or-improved-grassland-lh3" TargetMode="External"/><Relationship Id="rId9" Type="http://schemas.openxmlformats.org/officeDocument/2006/relationships/hyperlink" Target="https://www.gov.uk/countryside-stewardship-grants/pond-management-areas-more-than-100-sq-m-wn6" TargetMode="External"/><Relationship Id="rId14" Type="http://schemas.openxmlformats.org/officeDocument/2006/relationships/hyperlink" Target="https://www.gov.uk/countryside-stewardship-grants/creation-of-inter-tidal-and-saline-habitat-by-non-intervention-ct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A39E3-32F4-4FFD-9787-1AD79C84F6FB}">
  <dimension ref="B2:P41"/>
  <sheetViews>
    <sheetView tabSelected="1" zoomScale="115" zoomScaleNormal="115" workbookViewId="0">
      <selection activeCell="D11" sqref="D11"/>
    </sheetView>
  </sheetViews>
  <sheetFormatPr defaultColWidth="9.140625" defaultRowHeight="15" x14ac:dyDescent="0.25"/>
  <cols>
    <col min="1" max="1" width="9.140625" style="1"/>
    <col min="2" max="2" width="61.5703125" style="1" customWidth="1"/>
    <col min="3" max="3" width="14.28515625" style="1" customWidth="1"/>
    <col min="4" max="4" width="17.42578125" style="1" customWidth="1"/>
    <col min="5" max="5" width="14.42578125" style="1" customWidth="1"/>
    <col min="6" max="6" width="59.85546875" style="1" customWidth="1"/>
    <col min="7" max="7" width="13.140625" style="1" customWidth="1"/>
    <col min="8" max="13" width="14.28515625" style="1" customWidth="1"/>
    <col min="14" max="14" width="8.5703125" style="42" customWidth="1"/>
    <col min="15" max="15" width="124.140625" style="1" customWidth="1"/>
    <col min="16" max="16384" width="9.140625" style="1"/>
  </cols>
  <sheetData>
    <row r="2" spans="2:16" x14ac:dyDescent="0.25">
      <c r="C2" s="2" t="s">
        <v>0</v>
      </c>
      <c r="D2" s="2" t="s">
        <v>4</v>
      </c>
      <c r="E2" s="2"/>
      <c r="F2" s="3"/>
      <c r="G2" s="177" t="s">
        <v>153</v>
      </c>
      <c r="H2" s="177" t="s">
        <v>154</v>
      </c>
      <c r="I2" s="177" t="s">
        <v>155</v>
      </c>
      <c r="J2" s="177" t="s">
        <v>156</v>
      </c>
      <c r="K2" s="177" t="s">
        <v>157</v>
      </c>
      <c r="L2" s="177" t="s">
        <v>158</v>
      </c>
      <c r="M2" s="177" t="s">
        <v>159</v>
      </c>
      <c r="N2" s="36"/>
      <c r="O2" s="4" t="s">
        <v>4</v>
      </c>
      <c r="P2" s="5"/>
    </row>
    <row r="3" spans="2:16" ht="15.75" x14ac:dyDescent="0.25">
      <c r="B3" s="3" t="s">
        <v>1</v>
      </c>
      <c r="C3" s="6">
        <v>13027900</v>
      </c>
      <c r="D3" s="157"/>
      <c r="E3" s="157"/>
      <c r="F3" s="13" t="s">
        <v>5</v>
      </c>
      <c r="G3" s="33">
        <f>C5</f>
        <v>300280</v>
      </c>
      <c r="H3" s="33">
        <f>C6</f>
        <v>4853.6000000000004</v>
      </c>
      <c r="I3" s="33">
        <f>C7</f>
        <v>3640.2</v>
      </c>
      <c r="J3" s="33">
        <f>C8</f>
        <v>312196.10239999997</v>
      </c>
      <c r="K3" s="33">
        <f>C9</f>
        <v>248436.5</v>
      </c>
      <c r="L3" s="33">
        <f>C11</f>
        <v>135859</v>
      </c>
      <c r="M3" s="33">
        <f>C12</f>
        <v>103711</v>
      </c>
      <c r="N3" s="37"/>
      <c r="O3" s="146" t="s">
        <v>193</v>
      </c>
    </row>
    <row r="4" spans="2:16" x14ac:dyDescent="0.25">
      <c r="B4" s="3" t="s">
        <v>163</v>
      </c>
      <c r="C4" s="158">
        <f>3197260-784</f>
        <v>3196476</v>
      </c>
      <c r="D4" s="158"/>
      <c r="E4" s="158"/>
      <c r="G4" s="29"/>
      <c r="H4" s="29"/>
      <c r="I4" s="29"/>
      <c r="J4" s="29"/>
      <c r="K4" s="29"/>
      <c r="L4" s="29"/>
      <c r="M4" s="29"/>
      <c r="N4" s="38"/>
      <c r="O4" s="146"/>
    </row>
    <row r="5" spans="2:16" ht="15.75" x14ac:dyDescent="0.25">
      <c r="B5" s="9" t="s">
        <v>133</v>
      </c>
      <c r="C5" s="161">
        <v>300280</v>
      </c>
      <c r="D5" s="159">
        <v>2042</v>
      </c>
      <c r="E5" s="159"/>
      <c r="F5" s="3" t="s">
        <v>160</v>
      </c>
      <c r="G5" s="33">
        <v>0</v>
      </c>
      <c r="H5" s="33">
        <f>C24</f>
        <v>2402</v>
      </c>
      <c r="I5" s="33">
        <f>C25</f>
        <v>795</v>
      </c>
      <c r="J5" s="33">
        <f>C30</f>
        <v>74392</v>
      </c>
      <c r="K5" s="33">
        <f>C30</f>
        <v>74392</v>
      </c>
      <c r="L5" s="33">
        <f>C19</f>
        <v>14447</v>
      </c>
      <c r="M5" s="33">
        <f>C29</f>
        <v>1626.2000000000116</v>
      </c>
      <c r="N5" s="37"/>
      <c r="O5" s="146"/>
    </row>
    <row r="6" spans="2:16" ht="15.75" x14ac:dyDescent="0.25">
      <c r="B6" s="9" t="s">
        <v>134</v>
      </c>
      <c r="C6" s="160">
        <f>C23*0.8</f>
        <v>4853.6000000000004</v>
      </c>
      <c r="D6" s="159">
        <v>2042</v>
      </c>
      <c r="E6" s="165" t="s">
        <v>150</v>
      </c>
      <c r="F6" s="151" t="s">
        <v>201</v>
      </c>
      <c r="G6" s="197">
        <v>2025</v>
      </c>
      <c r="H6" s="197">
        <v>2025</v>
      </c>
      <c r="I6" s="197">
        <v>2025</v>
      </c>
      <c r="J6" s="197">
        <v>2025</v>
      </c>
      <c r="K6" s="197">
        <v>2025</v>
      </c>
      <c r="L6" s="197">
        <v>2025</v>
      </c>
      <c r="M6" s="197">
        <v>2023</v>
      </c>
      <c r="N6" s="37"/>
      <c r="O6" s="146"/>
    </row>
    <row r="7" spans="2:16" ht="15.75" x14ac:dyDescent="0.25">
      <c r="B7" s="9" t="s">
        <v>135</v>
      </c>
      <c r="C7" s="160">
        <f>0.6*C23</f>
        <v>3640.2</v>
      </c>
      <c r="D7" s="159">
        <v>2028</v>
      </c>
      <c r="E7" s="166"/>
      <c r="F7" s="13" t="s">
        <v>7</v>
      </c>
      <c r="G7" s="33">
        <f t="shared" ref="G7:K7" si="0">G3-G5</f>
        <v>300280</v>
      </c>
      <c r="H7" s="33">
        <f t="shared" si="0"/>
        <v>2451.6000000000004</v>
      </c>
      <c r="I7" s="33">
        <f t="shared" si="0"/>
        <v>2845.2</v>
      </c>
      <c r="J7" s="33">
        <f>J3-J5</f>
        <v>237804.10239999997</v>
      </c>
      <c r="K7" s="33">
        <f t="shared" si="0"/>
        <v>174044.5</v>
      </c>
      <c r="L7" s="33">
        <f>L3-L5</f>
        <v>121412</v>
      </c>
      <c r="M7" s="33">
        <f>M3-M5</f>
        <v>102084.79999999999</v>
      </c>
      <c r="N7" s="37"/>
      <c r="O7" s="146" t="s">
        <v>200</v>
      </c>
    </row>
    <row r="8" spans="2:16" x14ac:dyDescent="0.25">
      <c r="B8" s="9" t="s">
        <v>136</v>
      </c>
      <c r="C8" s="168">
        <f>C30+C5-M17</f>
        <v>312196.10239999997</v>
      </c>
      <c r="D8" s="159">
        <v>2042</v>
      </c>
      <c r="F8" s="3"/>
      <c r="G8" s="152" t="s">
        <v>132</v>
      </c>
      <c r="H8" s="29"/>
      <c r="I8" s="29"/>
      <c r="J8" s="29"/>
      <c r="K8" s="29"/>
      <c r="L8" s="29"/>
      <c r="M8" s="29"/>
      <c r="N8" s="38"/>
      <c r="O8" s="146"/>
    </row>
    <row r="9" spans="2:16" x14ac:dyDescent="0.25">
      <c r="B9" s="9" t="s">
        <v>137</v>
      </c>
      <c r="C9" s="168">
        <f>(0.185/2)*C32</f>
        <v>248436.5</v>
      </c>
      <c r="D9" s="159">
        <v>2030</v>
      </c>
      <c r="E9" s="167" t="s">
        <v>149</v>
      </c>
      <c r="F9" s="3" t="s">
        <v>6</v>
      </c>
      <c r="G9" s="29"/>
      <c r="H9" s="29"/>
      <c r="I9" s="29"/>
      <c r="J9" s="29"/>
      <c r="K9" s="29"/>
      <c r="L9" s="29"/>
      <c r="M9" s="29"/>
      <c r="N9" s="38"/>
      <c r="O9" s="146"/>
    </row>
    <row r="10" spans="2:16" x14ac:dyDescent="0.25">
      <c r="B10" s="147" t="s">
        <v>138</v>
      </c>
      <c r="C10" s="160"/>
      <c r="D10" s="159">
        <v>2050</v>
      </c>
      <c r="E10" s="159"/>
      <c r="F10" s="175" t="s">
        <v>99</v>
      </c>
      <c r="G10" s="173" t="s">
        <v>192</v>
      </c>
      <c r="H10" s="174">
        <f>H7</f>
        <v>2451.6000000000004</v>
      </c>
      <c r="I10" s="174">
        <f>I7</f>
        <v>2845.2</v>
      </c>
      <c r="J10" s="173" t="s">
        <v>192</v>
      </c>
      <c r="K10" s="173" t="s">
        <v>192</v>
      </c>
      <c r="L10" s="173" t="s">
        <v>192</v>
      </c>
      <c r="M10" s="173" t="s">
        <v>192</v>
      </c>
      <c r="N10" s="39"/>
      <c r="O10" s="146" t="s">
        <v>198</v>
      </c>
    </row>
    <row r="11" spans="2:16" x14ac:dyDescent="0.25">
      <c r="B11" s="9" t="s">
        <v>139</v>
      </c>
      <c r="C11" s="161">
        <v>135859</v>
      </c>
      <c r="D11" s="159">
        <v>2050</v>
      </c>
      <c r="E11" s="159"/>
      <c r="F11" s="175" t="s">
        <v>118</v>
      </c>
      <c r="G11" s="173" t="s">
        <v>192</v>
      </c>
      <c r="H11" s="173" t="s">
        <v>192</v>
      </c>
      <c r="I11" s="173" t="s">
        <v>192</v>
      </c>
      <c r="J11" s="173" t="s">
        <v>192</v>
      </c>
      <c r="K11" s="173" t="s">
        <v>192</v>
      </c>
      <c r="L11" s="194">
        <f>L7*C39</f>
        <v>60706</v>
      </c>
      <c r="M11" s="173" t="s">
        <v>192</v>
      </c>
      <c r="N11" s="148"/>
      <c r="O11" s="146" t="s">
        <v>194</v>
      </c>
    </row>
    <row r="12" spans="2:16" x14ac:dyDescent="0.25">
      <c r="B12" s="9" t="s">
        <v>140</v>
      </c>
      <c r="C12" s="201">
        <v>103711</v>
      </c>
      <c r="D12" s="159">
        <v>2050</v>
      </c>
      <c r="E12" s="159"/>
      <c r="F12" s="186" t="s">
        <v>119</v>
      </c>
      <c r="G12" s="187" t="s">
        <v>192</v>
      </c>
      <c r="H12" s="187" t="s">
        <v>192</v>
      </c>
      <c r="I12" s="187" t="s">
        <v>192</v>
      </c>
      <c r="J12" s="187" t="s">
        <v>192</v>
      </c>
      <c r="K12" s="187" t="s">
        <v>192</v>
      </c>
      <c r="L12" s="191">
        <f>L7*C39</f>
        <v>60706</v>
      </c>
      <c r="M12" s="187" t="s">
        <v>192</v>
      </c>
      <c r="N12" s="150"/>
      <c r="O12" s="149"/>
    </row>
    <row r="13" spans="2:16" x14ac:dyDescent="0.25">
      <c r="B13" s="147" t="s">
        <v>141</v>
      </c>
      <c r="C13" s="155"/>
      <c r="D13" s="8"/>
      <c r="E13" s="8"/>
      <c r="F13" s="186" t="s">
        <v>202</v>
      </c>
      <c r="G13" s="179"/>
      <c r="H13" s="179"/>
      <c r="I13" s="188">
        <f>D23*L13/C17</f>
        <v>79.26296690052942</v>
      </c>
      <c r="J13" s="179"/>
      <c r="K13" s="179"/>
      <c r="L13" s="188">
        <f>3*(L11/25)</f>
        <v>7284.7199999999993</v>
      </c>
      <c r="M13" s="179"/>
      <c r="N13" s="150"/>
      <c r="O13" s="149"/>
    </row>
    <row r="14" spans="2:16" x14ac:dyDescent="0.25">
      <c r="B14" s="147" t="s">
        <v>142</v>
      </c>
      <c r="C14" s="155"/>
      <c r="D14" s="8"/>
      <c r="E14" s="8"/>
      <c r="F14" s="186" t="s">
        <v>203</v>
      </c>
      <c r="G14" s="179"/>
      <c r="H14" s="188">
        <f>D23*L14/C17</f>
        <v>449.15681243633333</v>
      </c>
      <c r="I14" s="187"/>
      <c r="J14" s="187"/>
      <c r="K14" s="187"/>
      <c r="L14" s="188">
        <f>17*(L11/25)</f>
        <v>41280.079999999994</v>
      </c>
      <c r="M14" s="179"/>
      <c r="N14" s="150"/>
      <c r="O14" s="149"/>
    </row>
    <row r="15" spans="2:16" x14ac:dyDescent="0.25">
      <c r="B15" s="180" t="s">
        <v>128</v>
      </c>
      <c r="C15" s="185">
        <f>C22-(66446+55435)</f>
        <v>435711</v>
      </c>
      <c r="D15" s="11"/>
      <c r="E15" s="11"/>
      <c r="F15" s="186" t="s">
        <v>204</v>
      </c>
      <c r="G15" s="179"/>
      <c r="H15" s="190">
        <f>H10-H14</f>
        <v>2002.4431875636669</v>
      </c>
      <c r="I15" s="191">
        <f>I10-I13</f>
        <v>2765.9370330994702</v>
      </c>
      <c r="J15" s="187"/>
      <c r="K15" s="187"/>
      <c r="L15" s="187"/>
      <c r="M15" s="179"/>
      <c r="N15" s="150"/>
      <c r="O15" s="149"/>
    </row>
    <row r="16" spans="2:16" ht="15.75" x14ac:dyDescent="0.25">
      <c r="B16" s="180" t="s">
        <v>114</v>
      </c>
      <c r="C16" s="185">
        <f>6206*C15/C22</f>
        <v>4849.4642426720611</v>
      </c>
      <c r="D16" s="11"/>
      <c r="E16" s="11"/>
      <c r="F16" s="175" t="s">
        <v>207</v>
      </c>
      <c r="G16" s="178"/>
      <c r="H16" s="173" t="s">
        <v>192</v>
      </c>
      <c r="I16" s="173" t="s">
        <v>192</v>
      </c>
      <c r="J16" s="156"/>
      <c r="K16" s="192">
        <f>K7</f>
        <v>174044.5</v>
      </c>
      <c r="L16" s="173" t="s">
        <v>192</v>
      </c>
      <c r="M16" s="178">
        <f>C38*5*M7/25</f>
        <v>18375.263999999999</v>
      </c>
      <c r="N16" s="38"/>
      <c r="O16" s="146" t="s">
        <v>209</v>
      </c>
    </row>
    <row r="17" spans="2:15" ht="15.75" x14ac:dyDescent="0.25">
      <c r="B17" s="3" t="s">
        <v>231</v>
      </c>
      <c r="C17" s="161">
        <v>186615</v>
      </c>
      <c r="D17" s="162"/>
      <c r="E17" s="162"/>
      <c r="F17" s="175" t="s">
        <v>208</v>
      </c>
      <c r="G17" s="178"/>
      <c r="H17" s="173"/>
      <c r="I17" s="173"/>
      <c r="J17" s="192">
        <f>J7</f>
        <v>237804.10239999997</v>
      </c>
      <c r="K17" s="156"/>
      <c r="L17" s="173"/>
      <c r="M17" s="178">
        <f>C38*17*M7/25</f>
        <v>62475.897599999997</v>
      </c>
      <c r="N17" s="38"/>
      <c r="O17" s="146"/>
    </row>
    <row r="18" spans="2:15" ht="15.75" x14ac:dyDescent="0.25">
      <c r="B18" s="3" t="s">
        <v>8</v>
      </c>
      <c r="C18" s="161">
        <v>123687</v>
      </c>
      <c r="D18" s="31" t="s">
        <v>146</v>
      </c>
      <c r="E18" s="31"/>
      <c r="F18" s="175"/>
      <c r="G18" s="173"/>
      <c r="H18" s="173"/>
      <c r="I18" s="173"/>
      <c r="J18" s="32"/>
      <c r="K18" s="32"/>
      <c r="L18" s="173"/>
      <c r="M18" s="173"/>
      <c r="N18" s="38"/>
      <c r="O18" s="146"/>
    </row>
    <row r="19" spans="2:15" ht="15.75" x14ac:dyDescent="0.25">
      <c r="B19" s="3" t="s">
        <v>191</v>
      </c>
      <c r="C19" s="158">
        <v>14447</v>
      </c>
      <c r="D19" s="31"/>
      <c r="E19" s="31"/>
      <c r="F19" s="13" t="s">
        <v>3</v>
      </c>
      <c r="G19" s="196">
        <f>G7</f>
        <v>300280</v>
      </c>
      <c r="H19" s="173" t="s">
        <v>192</v>
      </c>
      <c r="I19" s="173" t="s">
        <v>192</v>
      </c>
      <c r="J19" s="173" t="s">
        <v>192</v>
      </c>
      <c r="K19" s="173" t="s">
        <v>192</v>
      </c>
      <c r="L19" s="173" t="s">
        <v>192</v>
      </c>
      <c r="M19" s="193">
        <f>M7</f>
        <v>102084.79999999999</v>
      </c>
      <c r="N19" s="40"/>
      <c r="O19" s="146"/>
    </row>
    <row r="20" spans="2:15" ht="15.75" x14ac:dyDescent="0.25">
      <c r="B20" s="3" t="s">
        <v>144</v>
      </c>
      <c r="C20" s="158">
        <v>458318.99678509816</v>
      </c>
      <c r="D20" s="5"/>
      <c r="E20" s="5"/>
      <c r="F20" s="203" t="s">
        <v>158</v>
      </c>
      <c r="G20" s="202">
        <f>L14</f>
        <v>41280.079999999994</v>
      </c>
      <c r="H20" s="173" t="s">
        <v>192</v>
      </c>
      <c r="I20" s="173" t="s">
        <v>192</v>
      </c>
      <c r="J20" s="173" t="s">
        <v>192</v>
      </c>
      <c r="K20" s="173" t="s">
        <v>192</v>
      </c>
      <c r="L20" s="173" t="s">
        <v>192</v>
      </c>
      <c r="M20" s="173" t="s">
        <v>192</v>
      </c>
      <c r="N20" s="40"/>
      <c r="O20" s="146"/>
    </row>
    <row r="21" spans="2:15" x14ac:dyDescent="0.25">
      <c r="B21" s="3" t="s">
        <v>145</v>
      </c>
      <c r="C21" s="158">
        <v>260878.58169160236</v>
      </c>
      <c r="D21" s="5"/>
      <c r="E21" s="5"/>
      <c r="F21" s="175" t="s">
        <v>159</v>
      </c>
      <c r="G21" s="174">
        <f>M17</f>
        <v>62475.897599999997</v>
      </c>
      <c r="H21" s="173" t="s">
        <v>192</v>
      </c>
      <c r="I21" s="173" t="s">
        <v>192</v>
      </c>
      <c r="J21" s="173" t="s">
        <v>192</v>
      </c>
      <c r="K21" s="173" t="s">
        <v>192</v>
      </c>
      <c r="L21" s="173" t="s">
        <v>192</v>
      </c>
      <c r="M21" s="34">
        <f>$C12</f>
        <v>103711</v>
      </c>
      <c r="N21" s="39"/>
      <c r="O21" s="146"/>
    </row>
    <row r="22" spans="2:15" x14ac:dyDescent="0.25">
      <c r="B22" s="183" t="s">
        <v>143</v>
      </c>
      <c r="C22" s="184">
        <v>557592</v>
      </c>
      <c r="D22" s="5"/>
      <c r="E22" s="5"/>
      <c r="F22" s="175" t="s">
        <v>117</v>
      </c>
      <c r="G22" s="189">
        <f>G19-G21-G20</f>
        <v>196524.02240000002</v>
      </c>
      <c r="H22" s="173" t="s">
        <v>192</v>
      </c>
      <c r="I22" s="173" t="s">
        <v>192</v>
      </c>
      <c r="J22" s="173" t="s">
        <v>192</v>
      </c>
      <c r="K22" s="173" t="s">
        <v>192</v>
      </c>
      <c r="L22" s="173" t="s">
        <v>192</v>
      </c>
      <c r="M22" s="173" t="s">
        <v>192</v>
      </c>
      <c r="N22" s="148"/>
      <c r="O22" s="149"/>
    </row>
    <row r="23" spans="2:15" x14ac:dyDescent="0.25">
      <c r="B23" s="3" t="s">
        <v>205</v>
      </c>
      <c r="C23" s="158">
        <v>6067</v>
      </c>
      <c r="D23" s="195">
        <f>C23*C17/C22</f>
        <v>2030.5047507855206</v>
      </c>
      <c r="E23" s="163" t="s">
        <v>206</v>
      </c>
      <c r="F23" s="151" t="s">
        <v>131</v>
      </c>
      <c r="G23" s="174">
        <f>G22</f>
        <v>196524.02240000002</v>
      </c>
      <c r="H23" s="173" t="s">
        <v>192</v>
      </c>
      <c r="I23" s="173" t="s">
        <v>192</v>
      </c>
      <c r="J23" s="173" t="s">
        <v>192</v>
      </c>
      <c r="K23" s="173" t="s">
        <v>192</v>
      </c>
      <c r="L23" s="173" t="s">
        <v>192</v>
      </c>
      <c r="M23" s="173" t="s">
        <v>192</v>
      </c>
      <c r="N23" s="39"/>
    </row>
    <row r="24" spans="2:15" x14ac:dyDescent="0.25">
      <c r="B24" s="3" t="s">
        <v>151</v>
      </c>
      <c r="C24" s="161">
        <v>2402</v>
      </c>
      <c r="D24" s="5"/>
      <c r="E24" s="5"/>
      <c r="F24" s="12" t="s">
        <v>49</v>
      </c>
      <c r="G24" s="35">
        <f>C33*C37</f>
        <v>21147.599999999999</v>
      </c>
      <c r="H24" s="176" t="s">
        <v>192</v>
      </c>
      <c r="I24" s="176" t="s">
        <v>192</v>
      </c>
      <c r="J24" s="176" t="s">
        <v>192</v>
      </c>
      <c r="K24" s="176" t="s">
        <v>192</v>
      </c>
      <c r="L24" s="176" t="s">
        <v>192</v>
      </c>
      <c r="M24" s="176" t="s">
        <v>192</v>
      </c>
      <c r="N24" s="41"/>
      <c r="O24" s="146" t="s">
        <v>197</v>
      </c>
    </row>
    <row r="25" spans="2:15" x14ac:dyDescent="0.25">
      <c r="B25" s="3" t="s">
        <v>152</v>
      </c>
      <c r="C25" s="160">
        <v>795</v>
      </c>
      <c r="D25" s="164">
        <v>0.13100000000000001</v>
      </c>
      <c r="E25" s="5"/>
      <c r="F25" s="12" t="s">
        <v>51</v>
      </c>
      <c r="G25" s="35">
        <f>('Area calculations'!G$23-G$24)*(('Priority habitats outside SSSIs'!$F4)/SUM('Priority habitats outside SSSIs'!$F$4:$F$6))</f>
        <v>16545.250715112757</v>
      </c>
      <c r="H25" s="176" t="s">
        <v>192</v>
      </c>
      <c r="I25" s="176" t="s">
        <v>192</v>
      </c>
      <c r="J25" s="176" t="s">
        <v>192</v>
      </c>
      <c r="K25" s="176" t="s">
        <v>192</v>
      </c>
      <c r="L25" s="176" t="s">
        <v>192</v>
      </c>
      <c r="M25" s="176" t="s">
        <v>192</v>
      </c>
      <c r="N25" s="41"/>
      <c r="O25" s="146" t="s">
        <v>195</v>
      </c>
    </row>
    <row r="26" spans="2:15" x14ac:dyDescent="0.25">
      <c r="B26" s="3" t="s">
        <v>215</v>
      </c>
      <c r="C26" s="160">
        <f>C22/C23</f>
        <v>91.905719465963415</v>
      </c>
      <c r="D26" s="164"/>
      <c r="E26" s="5"/>
      <c r="F26" s="12" t="s">
        <v>48</v>
      </c>
      <c r="G26" s="35">
        <f>('Area calculations'!G$23-G$24)*(('Priority habitats outside SSSIs'!$F5)/SUM('Priority habitats outside SSSIs'!$F$4:$F$6))</f>
        <v>130818.09034468637</v>
      </c>
      <c r="H26" s="176" t="s">
        <v>192</v>
      </c>
      <c r="I26" s="176" t="s">
        <v>192</v>
      </c>
      <c r="J26" s="176" t="s">
        <v>192</v>
      </c>
      <c r="K26" s="176" t="s">
        <v>192</v>
      </c>
      <c r="L26" s="176" t="s">
        <v>192</v>
      </c>
      <c r="M26" s="176" t="s">
        <v>192</v>
      </c>
      <c r="N26" s="41"/>
      <c r="O26" s="146" t="s">
        <v>195</v>
      </c>
    </row>
    <row r="27" spans="2:15" x14ac:dyDescent="0.25">
      <c r="B27" s="180" t="s">
        <v>100</v>
      </c>
      <c r="C27" s="181">
        <v>390461</v>
      </c>
      <c r="D27" s="182" t="s">
        <v>147</v>
      </c>
      <c r="E27" s="31"/>
      <c r="F27" s="12" t="s">
        <v>50</v>
      </c>
      <c r="G27" s="35">
        <f>('Area calculations'!G$23-G$24)*(('Priority habitats outside SSSIs'!$F6)/SUM('Priority habitats outside SSSIs'!$F$4:$F$6))</f>
        <v>28013.081340200875</v>
      </c>
      <c r="H27" s="176" t="s">
        <v>192</v>
      </c>
      <c r="I27" s="176" t="s">
        <v>192</v>
      </c>
      <c r="J27" s="176" t="s">
        <v>192</v>
      </c>
      <c r="K27" s="176" t="s">
        <v>192</v>
      </c>
      <c r="L27" s="176" t="s">
        <v>192</v>
      </c>
      <c r="M27" s="176" t="s">
        <v>192</v>
      </c>
      <c r="N27" s="41"/>
      <c r="O27" s="146" t="s">
        <v>195</v>
      </c>
    </row>
    <row r="28" spans="2:15" x14ac:dyDescent="0.25">
      <c r="B28" s="180" t="s">
        <v>130</v>
      </c>
      <c r="C28" s="181">
        <v>257161</v>
      </c>
      <c r="D28" s="182" t="s">
        <v>148</v>
      </c>
      <c r="E28" s="204"/>
      <c r="G28" s="29"/>
      <c r="H28" s="29"/>
      <c r="I28" s="29"/>
      <c r="J28" s="29"/>
      <c r="K28" s="29"/>
      <c r="L28" s="29"/>
      <c r="M28" s="169"/>
      <c r="N28" s="38"/>
    </row>
    <row r="29" spans="2:15" x14ac:dyDescent="0.25">
      <c r="B29" s="183" t="s">
        <v>199</v>
      </c>
      <c r="C29" s="184">
        <f>470434.3-468808.1</f>
        <v>1626.2000000000116</v>
      </c>
      <c r="D29" s="182"/>
      <c r="E29" s="31"/>
      <c r="G29" s="212"/>
      <c r="H29" s="7"/>
    </row>
    <row r="30" spans="2:15" x14ac:dyDescent="0.25">
      <c r="B30" s="216" t="s">
        <v>129</v>
      </c>
      <c r="C30" s="161">
        <v>74392</v>
      </c>
      <c r="D30" s="31"/>
      <c r="E30" s="31"/>
    </row>
    <row r="31" spans="2:15" x14ac:dyDescent="0.25">
      <c r="B31" s="217" t="s">
        <v>161</v>
      </c>
      <c r="C31" s="218">
        <v>1447100</v>
      </c>
      <c r="D31" s="219">
        <f>C31/C32</f>
        <v>0.53879663414997392</v>
      </c>
      <c r="E31" s="31"/>
    </row>
    <row r="32" spans="2:15" x14ac:dyDescent="0.25">
      <c r="B32" s="198" t="s">
        <v>162</v>
      </c>
      <c r="C32" s="161">
        <v>2685800</v>
      </c>
      <c r="D32" s="31"/>
      <c r="E32" s="31"/>
    </row>
    <row r="33" spans="2:5" x14ac:dyDescent="0.25">
      <c r="B33" s="3" t="s">
        <v>111</v>
      </c>
      <c r="C33" s="161">
        <v>35246</v>
      </c>
      <c r="D33" s="156"/>
      <c r="E33" s="156"/>
    </row>
    <row r="34" spans="2:5" x14ac:dyDescent="0.25">
      <c r="B34" s="220" t="s">
        <v>120</v>
      </c>
      <c r="C34" s="218">
        <v>700000</v>
      </c>
      <c r="D34" s="221" t="s">
        <v>121</v>
      </c>
      <c r="E34" s="31"/>
    </row>
    <row r="36" spans="2:5" x14ac:dyDescent="0.25">
      <c r="C36" s="10" t="s">
        <v>2</v>
      </c>
    </row>
    <row r="37" spans="2:5" x14ac:dyDescent="0.25">
      <c r="B37" s="3" t="s">
        <v>127</v>
      </c>
      <c r="C37" s="30">
        <v>0.6</v>
      </c>
    </row>
    <row r="38" spans="2:5" x14ac:dyDescent="0.25">
      <c r="B38" s="3" t="s">
        <v>216</v>
      </c>
      <c r="C38" s="30">
        <v>0.9</v>
      </c>
    </row>
    <row r="39" spans="2:5" x14ac:dyDescent="0.25">
      <c r="B39" s="3" t="s">
        <v>217</v>
      </c>
      <c r="C39" s="30">
        <v>0.5</v>
      </c>
    </row>
    <row r="41" spans="2:5" x14ac:dyDescent="0.25">
      <c r="B41" s="3" t="s">
        <v>196</v>
      </c>
    </row>
  </sheetData>
  <phoneticPr fontId="15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5881C-904B-439A-AC28-0D06F11E380B}">
  <dimension ref="B2:P34"/>
  <sheetViews>
    <sheetView workbookViewId="0">
      <selection activeCell="E16" sqref="E15:E16"/>
    </sheetView>
  </sheetViews>
  <sheetFormatPr defaultColWidth="9.140625" defaultRowHeight="15" x14ac:dyDescent="0.25"/>
  <cols>
    <col min="1" max="1" width="9.140625" style="16"/>
    <col min="2" max="2" width="20.42578125" style="16" customWidth="1"/>
    <col min="3" max="3" width="25" style="16" customWidth="1"/>
    <col min="4" max="4" width="11.28515625" style="16" bestFit="1" customWidth="1"/>
    <col min="5" max="5" width="72.5703125" style="16" customWidth="1"/>
    <col min="6" max="6" width="16.5703125" style="16" customWidth="1"/>
    <col min="7" max="7" width="23.28515625" style="16" customWidth="1"/>
    <col min="8" max="8" width="24.42578125" style="16" customWidth="1"/>
    <col min="9" max="9" width="20.42578125" style="16" customWidth="1"/>
    <col min="10" max="11" width="20.140625" style="16" customWidth="1"/>
    <col min="12" max="12" width="21.42578125" style="16" customWidth="1"/>
    <col min="13" max="15" width="20.140625" style="16" customWidth="1"/>
    <col min="16" max="16" width="45.140625" style="16" customWidth="1"/>
    <col min="17" max="16384" width="9.140625" style="16"/>
  </cols>
  <sheetData>
    <row r="2" spans="2:16" x14ac:dyDescent="0.25">
      <c r="D2" s="2" t="s">
        <v>55</v>
      </c>
      <c r="I2" s="177" t="s">
        <v>153</v>
      </c>
      <c r="J2" s="177" t="s">
        <v>154</v>
      </c>
      <c r="K2" s="177" t="s">
        <v>155</v>
      </c>
      <c r="L2" s="177" t="s">
        <v>156</v>
      </c>
      <c r="M2" s="177" t="s">
        <v>157</v>
      </c>
      <c r="N2" s="177" t="s">
        <v>158</v>
      </c>
      <c r="O2" s="177" t="s">
        <v>159</v>
      </c>
      <c r="P2" s="2" t="s">
        <v>4</v>
      </c>
    </row>
    <row r="3" spans="2:16" ht="15" customHeight="1" x14ac:dyDescent="0.25">
      <c r="B3" s="3" t="s">
        <v>56</v>
      </c>
      <c r="C3" s="16" t="s">
        <v>57</v>
      </c>
      <c r="D3" s="17">
        <v>10000</v>
      </c>
      <c r="E3" s="3" t="s">
        <v>210</v>
      </c>
      <c r="F3" s="215" t="s">
        <v>66</v>
      </c>
      <c r="G3" s="213" t="s">
        <v>56</v>
      </c>
      <c r="H3" s="16" t="s">
        <v>57</v>
      </c>
      <c r="I3" s="199"/>
      <c r="J3" s="17"/>
      <c r="K3" s="17"/>
      <c r="L3" s="17"/>
      <c r="M3" s="17"/>
      <c r="N3" s="17">
        <f>('Area calculations'!L11+'Area calculations'!L12)*'Costings - delivery data'!$D3</f>
        <v>1214120000</v>
      </c>
      <c r="O3" s="17"/>
    </row>
    <row r="4" spans="2:16" x14ac:dyDescent="0.25">
      <c r="B4" s="213" t="s">
        <v>58</v>
      </c>
      <c r="C4" s="16" t="s">
        <v>59</v>
      </c>
      <c r="D4" s="17">
        <v>9664</v>
      </c>
      <c r="E4" s="23" t="s">
        <v>70</v>
      </c>
      <c r="F4" s="215"/>
      <c r="G4" s="213"/>
      <c r="H4" s="16" t="s">
        <v>65</v>
      </c>
      <c r="I4" s="17"/>
      <c r="J4" s="17"/>
      <c r="K4" s="17"/>
      <c r="L4" s="17"/>
      <c r="M4" s="17"/>
      <c r="N4" s="17">
        <f>'Area calculations'!L11*'Costings - delivery data'!$D22</f>
        <v>15358618</v>
      </c>
      <c r="O4" s="17"/>
    </row>
    <row r="5" spans="2:16" x14ac:dyDescent="0.25">
      <c r="B5" s="213"/>
      <c r="C5" s="16" t="s">
        <v>60</v>
      </c>
      <c r="D5" s="17">
        <v>400</v>
      </c>
      <c r="E5" s="23" t="s">
        <v>68</v>
      </c>
      <c r="F5" s="215"/>
      <c r="G5" s="3" t="s">
        <v>112</v>
      </c>
      <c r="H5" s="153" t="s">
        <v>106</v>
      </c>
      <c r="I5" s="17"/>
      <c r="J5" s="17">
        <f>'Area calculations'!$C16*$D21</f>
        <v>9698928.4853441231</v>
      </c>
      <c r="K5" s="17"/>
      <c r="L5" s="17"/>
      <c r="M5" s="17"/>
      <c r="N5" s="17"/>
      <c r="O5" s="17"/>
    </row>
    <row r="6" spans="2:16" x14ac:dyDescent="0.25">
      <c r="B6" s="213" t="s">
        <v>61</v>
      </c>
      <c r="C6" s="208" t="s">
        <v>62</v>
      </c>
      <c r="D6" s="209">
        <f>'Costings - Gov numbers'!D6</f>
        <v>604.45833333333337</v>
      </c>
      <c r="E6" s="208" t="s">
        <v>98</v>
      </c>
      <c r="F6" s="215"/>
      <c r="G6" s="213" t="s">
        <v>72</v>
      </c>
      <c r="H6" s="156" t="s">
        <v>214</v>
      </c>
      <c r="I6" s="17"/>
      <c r="J6" s="17">
        <f>'Area calculations'!H5*'Area calculations'!C26*D7*17</f>
        <v>475727140.64801604</v>
      </c>
      <c r="K6" s="17"/>
      <c r="L6" s="199" t="s">
        <v>211</v>
      </c>
      <c r="M6" s="17">
        <f>'Area calculations'!K5*'Costings - delivery data'!D7*17</f>
        <v>160312955.75455701</v>
      </c>
      <c r="N6" s="17"/>
      <c r="O6" s="17"/>
    </row>
    <row r="7" spans="2:16" x14ac:dyDescent="0.25">
      <c r="B7" s="213"/>
      <c r="C7" s="16" t="s">
        <v>60</v>
      </c>
      <c r="D7" s="17">
        <f>'Costings - Gov numbers'!D7</f>
        <v>126.76327922243142</v>
      </c>
      <c r="E7" s="16" t="s">
        <v>73</v>
      </c>
      <c r="F7" s="215"/>
      <c r="G7" s="213"/>
      <c r="H7" s="16" t="s">
        <v>69</v>
      </c>
      <c r="I7" s="17"/>
      <c r="J7" s="17">
        <f>'Area calculations'!H15*'Area calculations'!C26*D7</f>
        <v>23329004.553307589</v>
      </c>
      <c r="K7" s="17">
        <f>'Area calculations'!I15*'Area calculations'!C26*D7</f>
        <v>32223914.286351271</v>
      </c>
      <c r="L7" s="17"/>
      <c r="M7" s="17">
        <f>'Area calculations'!K16*D7</f>
        <v>22062451.550628465</v>
      </c>
      <c r="N7" s="17"/>
      <c r="O7" s="17"/>
    </row>
    <row r="8" spans="2:16" x14ac:dyDescent="0.25">
      <c r="B8" s="19" t="s">
        <v>93</v>
      </c>
      <c r="C8" s="20" t="s">
        <v>94</v>
      </c>
      <c r="D8" s="24">
        <f>'Costings - Gov numbers'!D8</f>
        <v>320</v>
      </c>
      <c r="E8" s="25"/>
      <c r="F8" s="15"/>
      <c r="G8" s="3"/>
    </row>
    <row r="9" spans="2:16" x14ac:dyDescent="0.25">
      <c r="B9" s="213" t="s">
        <v>49</v>
      </c>
      <c r="C9" s="16" t="s">
        <v>63</v>
      </c>
      <c r="D9" s="17">
        <v>48000</v>
      </c>
      <c r="E9" s="3" t="s">
        <v>101</v>
      </c>
      <c r="F9" s="215" t="s">
        <v>67</v>
      </c>
      <c r="G9" s="213" t="s">
        <v>58</v>
      </c>
      <c r="H9" s="16" t="s">
        <v>59</v>
      </c>
      <c r="I9" s="17"/>
      <c r="J9" s="17"/>
      <c r="K9" s="17"/>
      <c r="L9" s="17"/>
      <c r="M9" s="17"/>
      <c r="N9" s="17"/>
      <c r="O9" s="17">
        <f>'Area calculations'!M21*'Costings - delivery data'!$D4</f>
        <v>1002263104</v>
      </c>
    </row>
    <row r="10" spans="2:16" x14ac:dyDescent="0.25">
      <c r="B10" s="213"/>
      <c r="C10" s="16" t="s">
        <v>60</v>
      </c>
      <c r="D10" s="17">
        <v>6500</v>
      </c>
      <c r="E10" s="3" t="s">
        <v>102</v>
      </c>
      <c r="F10" s="215"/>
      <c r="G10" s="213"/>
      <c r="H10" s="16" t="s">
        <v>60</v>
      </c>
      <c r="I10" s="17"/>
      <c r="J10" s="17"/>
      <c r="K10" s="17"/>
      <c r="L10" s="17"/>
      <c r="M10" s="17"/>
      <c r="N10" s="17"/>
      <c r="O10" s="17">
        <f>'Area calculations'!M21*'Costings - delivery data'!$D5*25/2</f>
        <v>518555000</v>
      </c>
    </row>
    <row r="11" spans="2:16" x14ac:dyDescent="0.25">
      <c r="B11" s="213" t="s">
        <v>51</v>
      </c>
      <c r="C11" s="16" t="s">
        <v>63</v>
      </c>
      <c r="D11" s="17">
        <v>16000</v>
      </c>
      <c r="E11" s="45" t="s">
        <v>110</v>
      </c>
      <c r="F11" s="215"/>
      <c r="G11" s="213"/>
      <c r="H11" s="16" t="s">
        <v>65</v>
      </c>
      <c r="I11" s="17"/>
      <c r="J11" s="17"/>
      <c r="K11" s="17"/>
      <c r="L11" s="17"/>
      <c r="M11" s="17"/>
      <c r="N11" s="17"/>
      <c r="O11" s="17">
        <f>'Area calculations'!M21*'Costings - delivery data'!$D22</f>
        <v>26238883</v>
      </c>
    </row>
    <row r="12" spans="2:16" x14ac:dyDescent="0.25">
      <c r="B12" s="213"/>
      <c r="C12" s="16" t="s">
        <v>60</v>
      </c>
      <c r="D12" s="17"/>
      <c r="E12" s="28"/>
      <c r="F12" s="215"/>
      <c r="G12" s="213" t="s">
        <v>61</v>
      </c>
      <c r="H12" s="156" t="s">
        <v>62</v>
      </c>
      <c r="I12" s="17"/>
      <c r="J12" s="17"/>
      <c r="K12" s="17"/>
      <c r="L12" s="17"/>
      <c r="M12" s="17"/>
      <c r="N12" s="17"/>
      <c r="O12" s="17"/>
    </row>
    <row r="13" spans="2:16" x14ac:dyDescent="0.25">
      <c r="B13" s="213" t="s">
        <v>48</v>
      </c>
      <c r="C13" s="16" t="s">
        <v>63</v>
      </c>
      <c r="D13" s="17">
        <v>2500</v>
      </c>
      <c r="E13" s="3" t="s">
        <v>108</v>
      </c>
      <c r="F13" s="215"/>
      <c r="G13" s="213"/>
      <c r="H13" s="156" t="s">
        <v>60</v>
      </c>
      <c r="I13" s="17"/>
      <c r="J13" s="17">
        <f>'Area calculations'!H15*'Area calculations'!C26*D7*17</f>
        <v>396593077.40622902</v>
      </c>
      <c r="K13" s="17"/>
      <c r="L13" s="17"/>
      <c r="M13" s="17">
        <f>'Area calculations'!K16*D7*17/2</f>
        <v>187530838.18034196</v>
      </c>
      <c r="N13" s="17">
        <f>'Area calculations'!L11*'Costings - delivery data'!$D7*25/2</f>
        <v>96191145.355961516</v>
      </c>
      <c r="O13" s="17"/>
    </row>
    <row r="14" spans="2:16" x14ac:dyDescent="0.25">
      <c r="B14" s="213"/>
      <c r="C14" s="16" t="s">
        <v>60</v>
      </c>
      <c r="D14" s="17">
        <f>(765+500)/2</f>
        <v>632.5</v>
      </c>
      <c r="E14" s="3" t="s">
        <v>109</v>
      </c>
      <c r="F14" s="215"/>
      <c r="G14" s="213"/>
      <c r="H14" s="156" t="s">
        <v>65</v>
      </c>
      <c r="I14" s="17"/>
      <c r="J14" s="17">
        <f>'Area calculations'!H15*'Area calculations'!C26*D8</f>
        <v>58891514.189681895</v>
      </c>
      <c r="K14" s="17"/>
      <c r="L14" s="17"/>
      <c r="M14" s="17"/>
      <c r="N14" s="17"/>
      <c r="O14" s="17"/>
    </row>
    <row r="15" spans="2:16" x14ac:dyDescent="0.25">
      <c r="B15" s="213" t="s">
        <v>50</v>
      </c>
      <c r="C15" s="16" t="s">
        <v>63</v>
      </c>
      <c r="D15" s="17">
        <f>AVERAGE(D4,D11,D13)</f>
        <v>9388</v>
      </c>
      <c r="E15" s="156" t="s">
        <v>212</v>
      </c>
      <c r="F15" s="215"/>
      <c r="G15" s="213" t="s">
        <v>49</v>
      </c>
      <c r="H15" s="16" t="s">
        <v>63</v>
      </c>
      <c r="I15" s="17">
        <f>'Area calculations'!G24*'Costings - delivery data'!$D9*5/2</f>
        <v>2537711999.9999995</v>
      </c>
      <c r="J15" s="17"/>
      <c r="K15" s="17"/>
      <c r="L15" s="17"/>
      <c r="M15" s="17"/>
      <c r="N15" s="17"/>
      <c r="O15" s="17"/>
    </row>
    <row r="16" spans="2:16" x14ac:dyDescent="0.25">
      <c r="B16" s="213"/>
      <c r="C16" s="16" t="s">
        <v>60</v>
      </c>
      <c r="D16" s="17">
        <f>AVERAGE(D5,D12,D14)</f>
        <v>516.25</v>
      </c>
      <c r="E16" s="156" t="s">
        <v>212</v>
      </c>
      <c r="F16" s="215"/>
      <c r="G16" s="213"/>
      <c r="H16" s="16" t="s">
        <v>60</v>
      </c>
      <c r="I16" s="17"/>
      <c r="J16" s="17"/>
      <c r="K16" s="17"/>
      <c r="L16" s="17">
        <f>'Area calculations'!G24*'Costings - delivery data'!$D10*5/2</f>
        <v>343648500</v>
      </c>
      <c r="M16" s="17"/>
      <c r="N16" s="17"/>
      <c r="O16" s="17"/>
    </row>
    <row r="17" spans="2:15" x14ac:dyDescent="0.25">
      <c r="B17" s="213" t="s">
        <v>54</v>
      </c>
      <c r="C17" s="16" t="s">
        <v>57</v>
      </c>
      <c r="D17" s="17">
        <v>10000</v>
      </c>
      <c r="E17" s="3" t="s">
        <v>96</v>
      </c>
      <c r="F17" s="215"/>
      <c r="G17" s="213"/>
      <c r="H17" s="16" t="s">
        <v>65</v>
      </c>
      <c r="I17" s="17">
        <f>'Area calculations'!G24*'Costings - delivery data'!$D23*5</f>
        <v>3383616000</v>
      </c>
      <c r="J17" s="17"/>
      <c r="K17" s="17"/>
      <c r="L17" s="17"/>
      <c r="M17" s="17"/>
      <c r="N17" s="17"/>
      <c r="O17" s="17"/>
    </row>
    <row r="18" spans="2:15" x14ac:dyDescent="0.25">
      <c r="B18" s="213"/>
      <c r="C18" s="16" t="s">
        <v>57</v>
      </c>
      <c r="D18" s="17">
        <v>16000</v>
      </c>
      <c r="E18" s="3" t="s">
        <v>95</v>
      </c>
      <c r="F18" s="215"/>
      <c r="G18" s="213" t="s">
        <v>51</v>
      </c>
      <c r="H18" s="16" t="s">
        <v>63</v>
      </c>
      <c r="I18" s="17">
        <f>'Area calculations'!G25*(AVERAGE('Costings - delivery data'!$D17:$D19)*5/2)</f>
        <v>579083775.02894652</v>
      </c>
      <c r="J18" s="17"/>
      <c r="K18" s="17"/>
      <c r="L18" s="17"/>
      <c r="M18" s="17"/>
      <c r="N18" s="17"/>
      <c r="O18" s="17"/>
    </row>
    <row r="19" spans="2:15" x14ac:dyDescent="0.25">
      <c r="B19" s="213"/>
      <c r="C19" s="16" t="s">
        <v>57</v>
      </c>
      <c r="D19" s="17">
        <v>16000</v>
      </c>
      <c r="E19" s="3" t="s">
        <v>115</v>
      </c>
      <c r="F19" s="215"/>
      <c r="G19" s="213"/>
      <c r="H19" s="16" t="s">
        <v>60</v>
      </c>
      <c r="I19" s="17"/>
      <c r="J19" s="17"/>
      <c r="K19" s="17"/>
      <c r="L19" s="17">
        <f>'Area calculations'!G25*'Costings - delivery data'!$D14*5/2</f>
        <v>26162177.693272047</v>
      </c>
      <c r="M19" s="17"/>
      <c r="N19" s="17"/>
      <c r="O19" s="17"/>
    </row>
    <row r="20" spans="2:15" x14ac:dyDescent="0.25">
      <c r="F20" s="215"/>
      <c r="G20" s="213"/>
      <c r="H20" s="16" t="s">
        <v>65</v>
      </c>
      <c r="I20" s="214" t="s">
        <v>97</v>
      </c>
      <c r="J20" s="214"/>
      <c r="K20" s="214"/>
      <c r="L20" s="214"/>
      <c r="M20" s="200"/>
      <c r="N20" s="200"/>
      <c r="O20" s="154"/>
    </row>
    <row r="21" spans="2:15" x14ac:dyDescent="0.25">
      <c r="B21" s="3" t="s">
        <v>112</v>
      </c>
      <c r="C21" s="45" t="s">
        <v>113</v>
      </c>
      <c r="D21" s="17">
        <v>2000</v>
      </c>
      <c r="E21" s="3" t="s">
        <v>116</v>
      </c>
      <c r="F21" s="215"/>
      <c r="G21" s="213" t="s">
        <v>48</v>
      </c>
      <c r="H21" s="16" t="s">
        <v>63</v>
      </c>
      <c r="I21" s="17">
        <f>'Area calculations'!G26*'Costings - delivery data'!$D13*5/2</f>
        <v>817613064.65428972</v>
      </c>
      <c r="J21" s="17"/>
      <c r="K21" s="17"/>
      <c r="L21" s="17"/>
      <c r="M21" s="17"/>
      <c r="N21" s="17"/>
      <c r="O21" s="17"/>
    </row>
    <row r="22" spans="2:15" x14ac:dyDescent="0.25">
      <c r="B22" s="3" t="s">
        <v>64</v>
      </c>
      <c r="C22" s="44" t="s">
        <v>104</v>
      </c>
      <c r="D22" s="17">
        <f>(350+156)/2</f>
        <v>253</v>
      </c>
      <c r="E22" s="3" t="s">
        <v>107</v>
      </c>
      <c r="F22" s="215"/>
      <c r="G22" s="213"/>
      <c r="H22" s="16" t="s">
        <v>60</v>
      </c>
      <c r="I22" s="17"/>
      <c r="J22" s="17"/>
      <c r="K22" s="17"/>
      <c r="L22" s="17">
        <f>'Area calculations'!G26*'Costings - delivery data'!$D14*5/2</f>
        <v>206856105.35753533</v>
      </c>
      <c r="M22" s="17"/>
      <c r="N22" s="17"/>
      <c r="O22" s="17"/>
    </row>
    <row r="23" spans="2:15" ht="15" customHeight="1" x14ac:dyDescent="0.25">
      <c r="C23" s="44" t="s">
        <v>105</v>
      </c>
      <c r="D23" s="43">
        <v>32000</v>
      </c>
      <c r="E23" s="3" t="s">
        <v>103</v>
      </c>
      <c r="F23" s="215"/>
      <c r="G23" s="213"/>
      <c r="H23" s="16" t="s">
        <v>65</v>
      </c>
      <c r="I23" s="17">
        <f>'Area calculations'!G26*'Costings - delivery data'!$D22*5</f>
        <v>165484884.28602827</v>
      </c>
      <c r="J23" s="17"/>
      <c r="K23" s="17"/>
      <c r="L23" s="17"/>
      <c r="M23" s="17"/>
      <c r="N23" s="17"/>
      <c r="O23" s="17"/>
    </row>
    <row r="24" spans="2:15" x14ac:dyDescent="0.25">
      <c r="F24" s="215"/>
      <c r="G24" s="213" t="s">
        <v>50</v>
      </c>
      <c r="H24" s="16" t="s">
        <v>63</v>
      </c>
      <c r="I24" s="17">
        <f>'Area calculations'!G27*'Costings - delivery data'!$D15</f>
        <v>262986807.62180582</v>
      </c>
      <c r="J24" s="17"/>
      <c r="K24" s="17"/>
      <c r="L24" s="17"/>
      <c r="M24" s="17"/>
      <c r="N24" s="17"/>
      <c r="O24" s="17"/>
    </row>
    <row r="25" spans="2:15" ht="15" customHeight="1" x14ac:dyDescent="0.25">
      <c r="F25" s="215"/>
      <c r="G25" s="213"/>
      <c r="H25" s="16" t="s">
        <v>60</v>
      </c>
      <c r="I25" s="17"/>
      <c r="J25" s="17"/>
      <c r="K25" s="17"/>
      <c r="L25" s="17">
        <f>'Area calculations'!G27*'Costings - delivery data'!$D14</f>
        <v>17718273.947677054</v>
      </c>
      <c r="M25" s="17"/>
      <c r="N25" s="17"/>
      <c r="O25" s="17"/>
    </row>
    <row r="26" spans="2:15" x14ac:dyDescent="0.25">
      <c r="F26" s="215"/>
      <c r="G26" s="213"/>
      <c r="H26" s="16" t="s">
        <v>65</v>
      </c>
      <c r="I26" s="17">
        <f>'Area calculations'!G27*'Costings - delivery data'!$D22*5</f>
        <v>35436547.895354107</v>
      </c>
      <c r="J26" s="17"/>
      <c r="K26" s="17"/>
      <c r="L26" s="17"/>
      <c r="M26" s="17"/>
      <c r="N26" s="17"/>
      <c r="O26" s="17"/>
    </row>
    <row r="27" spans="2:15" x14ac:dyDescent="0.25">
      <c r="F27" s="15"/>
    </row>
    <row r="28" spans="2:15" ht="15.75" x14ac:dyDescent="0.25">
      <c r="F28" s="3" t="s">
        <v>213</v>
      </c>
      <c r="G28" s="21"/>
      <c r="H28" s="21"/>
      <c r="I28" s="18">
        <f>SUM(I3:I27)</f>
        <v>7781933079.4864254</v>
      </c>
      <c r="J28" s="18">
        <f>SUM(J3:J14)</f>
        <v>964239665.28257859</v>
      </c>
      <c r="K28" s="18">
        <f>K7</f>
        <v>32223914.286351271</v>
      </c>
      <c r="L28" s="18">
        <f>SUM(L12:L27)</f>
        <v>594385056.99848437</v>
      </c>
      <c r="M28" s="18">
        <f>SUM(M3:M27)</f>
        <v>369906245.4855274</v>
      </c>
      <c r="N28" s="18">
        <f>SUM(N3:N27)</f>
        <v>1325669763.3559616</v>
      </c>
      <c r="O28" s="18">
        <f>SUM(O3:O27)</f>
        <v>1547056987</v>
      </c>
    </row>
    <row r="29" spans="2:15" ht="15.75" x14ac:dyDescent="0.25">
      <c r="F29" s="13" t="s">
        <v>47</v>
      </c>
      <c r="O29" s="22">
        <f>SUM(I28:O28)</f>
        <v>12615414711.895329</v>
      </c>
    </row>
    <row r="30" spans="2:15" x14ac:dyDescent="0.25">
      <c r="H30" s="210" t="s">
        <v>232</v>
      </c>
      <c r="I30" s="17">
        <f>J7+K7+M7+O10+J13+M13+N13+L16+L19+L22+L25+J6+M6</f>
        <v>2506910584.7338777</v>
      </c>
      <c r="J30" s="211">
        <f>I30/I34</f>
        <v>0.19871804787916014</v>
      </c>
    </row>
    <row r="31" spans="2:15" x14ac:dyDescent="0.25">
      <c r="H31" s="210" t="s">
        <v>233</v>
      </c>
      <c r="I31" s="17">
        <f>N3+O9+I15+I18+I21+I24</f>
        <v>6413778751.3050432</v>
      </c>
      <c r="J31" s="211">
        <f>I31/I34</f>
        <v>0.50840807835333079</v>
      </c>
    </row>
    <row r="32" spans="2:15" x14ac:dyDescent="0.25">
      <c r="H32" s="210" t="s">
        <v>234</v>
      </c>
      <c r="I32" s="17">
        <f>N4+O11+J14+I17+I23+I26</f>
        <v>3685026447.3710647</v>
      </c>
      <c r="J32" s="211">
        <f>I32/I34</f>
        <v>0.29210505809978476</v>
      </c>
    </row>
    <row r="33" spans="8:10" x14ac:dyDescent="0.25">
      <c r="H33" s="210" t="s">
        <v>235</v>
      </c>
      <c r="I33" s="17">
        <f>J5</f>
        <v>9698928.4853441231</v>
      </c>
      <c r="J33" s="211">
        <f>I33/I34</f>
        <v>7.68815667724249E-4</v>
      </c>
    </row>
    <row r="34" spans="8:10" x14ac:dyDescent="0.25">
      <c r="I34" s="17">
        <f>SUM(I30:I33)</f>
        <v>12615414711.89533</v>
      </c>
    </row>
  </sheetData>
  <mergeCells count="18">
    <mergeCell ref="B4:B5"/>
    <mergeCell ref="G3:G4"/>
    <mergeCell ref="B9:B10"/>
    <mergeCell ref="B11:B12"/>
    <mergeCell ref="B6:B7"/>
    <mergeCell ref="F3:F7"/>
    <mergeCell ref="G6:G7"/>
    <mergeCell ref="F9:F26"/>
    <mergeCell ref="G21:G23"/>
    <mergeCell ref="G24:G26"/>
    <mergeCell ref="G9:G11"/>
    <mergeCell ref="G12:G14"/>
    <mergeCell ref="G15:G17"/>
    <mergeCell ref="G18:G20"/>
    <mergeCell ref="I20:L20"/>
    <mergeCell ref="B17:B19"/>
    <mergeCell ref="B13:B14"/>
    <mergeCell ref="B15:B16"/>
  </mergeCells>
  <hyperlinks>
    <hyperlink ref="E5" r:id="rId1" xr:uid="{02A7DFD9-59D6-4E2F-A59D-50720D900271}"/>
    <hyperlink ref="E4" r:id="rId2" xr:uid="{4A4984AD-B7D8-4CEC-B4C7-CD976AFD398E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8ED2-2196-4336-B73B-5877DFABCC36}">
  <dimension ref="B2:P34"/>
  <sheetViews>
    <sheetView workbookViewId="0">
      <selection activeCell="D6" sqref="D6"/>
    </sheetView>
  </sheetViews>
  <sheetFormatPr defaultColWidth="9.140625" defaultRowHeight="15" x14ac:dyDescent="0.25"/>
  <cols>
    <col min="1" max="1" width="9.140625" style="16"/>
    <col min="2" max="2" width="20.42578125" style="16" customWidth="1"/>
    <col min="3" max="3" width="25" style="16" customWidth="1"/>
    <col min="4" max="4" width="11.28515625" style="16" bestFit="1" customWidth="1"/>
    <col min="5" max="5" width="60.140625" style="16" customWidth="1"/>
    <col min="6" max="6" width="16.5703125" style="16" customWidth="1"/>
    <col min="7" max="7" width="23.28515625" style="16" customWidth="1"/>
    <col min="8" max="8" width="24.42578125" style="16" customWidth="1"/>
    <col min="9" max="9" width="20.42578125" style="16" customWidth="1"/>
    <col min="10" max="11" width="20.140625" style="16" customWidth="1"/>
    <col min="12" max="12" width="21.42578125" style="16" customWidth="1"/>
    <col min="13" max="15" width="20.140625" style="16" customWidth="1"/>
    <col min="16" max="16" width="45.140625" style="16" customWidth="1"/>
    <col min="17" max="16384" width="9.140625" style="16"/>
  </cols>
  <sheetData>
    <row r="2" spans="2:16" x14ac:dyDescent="0.25">
      <c r="D2" s="2" t="s">
        <v>55</v>
      </c>
      <c r="I2" s="177" t="s">
        <v>153</v>
      </c>
      <c r="J2" s="177" t="s">
        <v>154</v>
      </c>
      <c r="K2" s="177" t="s">
        <v>155</v>
      </c>
      <c r="L2" s="177" t="s">
        <v>156</v>
      </c>
      <c r="M2" s="177" t="s">
        <v>157</v>
      </c>
      <c r="N2" s="177" t="s">
        <v>158</v>
      </c>
      <c r="O2" s="177" t="s">
        <v>159</v>
      </c>
      <c r="P2" s="2" t="s">
        <v>4</v>
      </c>
    </row>
    <row r="3" spans="2:16" ht="15" customHeight="1" x14ac:dyDescent="0.25">
      <c r="B3" s="3" t="s">
        <v>56</v>
      </c>
      <c r="C3" s="16" t="s">
        <v>57</v>
      </c>
      <c r="D3" s="17">
        <v>1878</v>
      </c>
      <c r="E3" s="23" t="s">
        <v>71</v>
      </c>
      <c r="F3" s="215" t="s">
        <v>66</v>
      </c>
      <c r="G3" s="213" t="s">
        <v>56</v>
      </c>
      <c r="H3" s="16" t="s">
        <v>57</v>
      </c>
      <c r="I3" s="199"/>
      <c r="J3" s="17"/>
      <c r="K3" s="17"/>
      <c r="L3" s="17"/>
      <c r="M3" s="17"/>
      <c r="N3" s="17">
        <f>('Area calculations'!L11+'Area calculations'!L12)*'Costings - Gov numbers'!$D3</f>
        <v>228011736</v>
      </c>
      <c r="O3" s="17"/>
    </row>
    <row r="4" spans="2:16" x14ac:dyDescent="0.25">
      <c r="B4" s="213" t="s">
        <v>58</v>
      </c>
      <c r="C4" s="16" t="s">
        <v>59</v>
      </c>
      <c r="D4" s="17">
        <v>9664</v>
      </c>
      <c r="E4" s="23" t="s">
        <v>70</v>
      </c>
      <c r="F4" s="215"/>
      <c r="G4" s="213"/>
      <c r="H4" s="16" t="s">
        <v>65</v>
      </c>
      <c r="I4" s="17"/>
      <c r="J4" s="17"/>
      <c r="K4" s="17"/>
      <c r="L4" s="17"/>
      <c r="M4" s="17"/>
      <c r="N4" s="17">
        <f>'Area calculations'!L11*'Costings - Gov numbers'!$D8</f>
        <v>19425920</v>
      </c>
      <c r="O4" s="17"/>
    </row>
    <row r="5" spans="2:16" x14ac:dyDescent="0.25">
      <c r="B5" s="213"/>
      <c r="C5" s="16" t="s">
        <v>60</v>
      </c>
      <c r="D5" s="17">
        <v>400</v>
      </c>
      <c r="E5" s="23" t="s">
        <v>68</v>
      </c>
      <c r="F5" s="215"/>
      <c r="G5" s="3" t="s">
        <v>112</v>
      </c>
      <c r="H5" s="153" t="s">
        <v>106</v>
      </c>
      <c r="I5" s="17"/>
      <c r="J5" s="17">
        <f>'Area calculations'!$C16*$D19</f>
        <v>9698928.4853441231</v>
      </c>
      <c r="K5" s="17"/>
      <c r="L5" s="17"/>
      <c r="M5" s="17"/>
      <c r="N5" s="17"/>
      <c r="O5" s="17"/>
    </row>
    <row r="6" spans="2:16" x14ac:dyDescent="0.25">
      <c r="B6" s="213" t="s">
        <v>61</v>
      </c>
      <c r="C6" s="16" t="s">
        <v>62</v>
      </c>
      <c r="D6" s="17">
        <f>AVERAGE(D9,D11,D13,D15)</f>
        <v>604.45833333333337</v>
      </c>
      <c r="E6" s="26" t="s">
        <v>98</v>
      </c>
      <c r="F6" s="215"/>
      <c r="G6" s="213" t="s">
        <v>72</v>
      </c>
      <c r="H6" s="156" t="s">
        <v>214</v>
      </c>
      <c r="I6" s="17"/>
      <c r="J6" s="17">
        <f>'Area calculations'!H5*'Area calculations'!C26*D7*17</f>
        <v>475727140.64801604</v>
      </c>
      <c r="K6" s="17"/>
      <c r="L6" s="199" t="s">
        <v>211</v>
      </c>
      <c r="M6" s="17">
        <f>'Area calculations'!K5*'Costings - Gov numbers'!D7*17</f>
        <v>160312955.75455701</v>
      </c>
      <c r="N6" s="17"/>
      <c r="O6" s="17"/>
    </row>
    <row r="7" spans="2:16" x14ac:dyDescent="0.25">
      <c r="B7" s="213"/>
      <c r="C7" s="16" t="s">
        <v>60</v>
      </c>
      <c r="D7" s="17">
        <f>62275630/(98255*5)</f>
        <v>126.76327922243142</v>
      </c>
      <c r="E7" s="16" t="s">
        <v>73</v>
      </c>
      <c r="F7" s="215"/>
      <c r="G7" s="213"/>
      <c r="H7" s="16" t="s">
        <v>69</v>
      </c>
      <c r="I7" s="17"/>
      <c r="J7" s="17">
        <f>'Area calculations'!H15*'Area calculations'!C26*D7</f>
        <v>23329004.553307589</v>
      </c>
      <c r="K7" s="17">
        <f>'Area calculations'!I15*'Area calculations'!C26*D7</f>
        <v>32223914.286351271</v>
      </c>
      <c r="L7" s="17"/>
      <c r="M7" s="17">
        <f>'Area calculations'!K16*D7</f>
        <v>22062451.550628465</v>
      </c>
      <c r="N7" s="17"/>
      <c r="O7" s="17"/>
    </row>
    <row r="8" spans="2:16" x14ac:dyDescent="0.25">
      <c r="B8" s="14" t="s">
        <v>93</v>
      </c>
      <c r="C8" s="16" t="s">
        <v>94</v>
      </c>
      <c r="D8" s="17">
        <v>320</v>
      </c>
      <c r="E8" s="23" t="s">
        <v>122</v>
      </c>
      <c r="F8" s="15"/>
      <c r="G8" s="3"/>
    </row>
    <row r="9" spans="2:16" x14ac:dyDescent="0.25">
      <c r="B9" s="213" t="s">
        <v>49</v>
      </c>
      <c r="C9" s="16" t="s">
        <v>63</v>
      </c>
      <c r="D9" s="17">
        <f>'AES for Habitat target'!F3</f>
        <v>600</v>
      </c>
      <c r="E9" s="28" t="s">
        <v>98</v>
      </c>
      <c r="F9" s="215" t="s">
        <v>67</v>
      </c>
      <c r="G9" s="213" t="s">
        <v>58</v>
      </c>
      <c r="H9" s="16" t="s">
        <v>59</v>
      </c>
      <c r="I9" s="17"/>
      <c r="J9" s="17"/>
      <c r="K9" s="17"/>
      <c r="L9" s="17"/>
      <c r="M9" s="17"/>
      <c r="N9" s="17"/>
      <c r="O9" s="17">
        <f>'Area calculations'!M21*'Costings - Gov numbers'!$D4</f>
        <v>1002263104</v>
      </c>
    </row>
    <row r="10" spans="2:16" x14ac:dyDescent="0.25">
      <c r="B10" s="213"/>
      <c r="C10" s="16" t="s">
        <v>60</v>
      </c>
      <c r="D10" s="17"/>
      <c r="F10" s="215"/>
      <c r="G10" s="213"/>
      <c r="H10" s="16" t="s">
        <v>60</v>
      </c>
      <c r="I10" s="17"/>
      <c r="J10" s="17"/>
      <c r="K10" s="17"/>
      <c r="L10" s="17"/>
      <c r="M10" s="17"/>
      <c r="N10" s="17"/>
      <c r="O10" s="17">
        <f>'Area calculations'!M21*'Costings - Gov numbers'!$D5*25/2</f>
        <v>518555000</v>
      </c>
    </row>
    <row r="11" spans="2:16" x14ac:dyDescent="0.25">
      <c r="B11" s="213" t="s">
        <v>51</v>
      </c>
      <c r="C11" s="16" t="s">
        <v>63</v>
      </c>
      <c r="D11" s="17">
        <f>'AES for Habitat target'!F6</f>
        <v>667</v>
      </c>
      <c r="E11" s="28" t="s">
        <v>98</v>
      </c>
      <c r="F11" s="215"/>
      <c r="G11" s="213"/>
      <c r="H11" s="16" t="s">
        <v>65</v>
      </c>
      <c r="I11" s="17"/>
      <c r="J11" s="17"/>
      <c r="K11" s="17"/>
      <c r="L11" s="17"/>
      <c r="M11" s="17"/>
      <c r="N11" s="17"/>
      <c r="O11" s="17">
        <f>'Area calculations'!M21*'Costings - Gov numbers'!$D8</f>
        <v>33187520</v>
      </c>
    </row>
    <row r="12" spans="2:16" x14ac:dyDescent="0.25">
      <c r="B12" s="213"/>
      <c r="C12" s="16" t="s">
        <v>60</v>
      </c>
      <c r="D12" s="17"/>
      <c r="F12" s="215"/>
      <c r="G12" s="213" t="s">
        <v>61</v>
      </c>
      <c r="H12" s="156" t="s">
        <v>62</v>
      </c>
      <c r="I12" s="17"/>
      <c r="J12" s="17"/>
      <c r="K12" s="17"/>
      <c r="L12" s="17"/>
      <c r="M12" s="17"/>
      <c r="N12" s="17"/>
      <c r="O12" s="17"/>
    </row>
    <row r="13" spans="2:16" x14ac:dyDescent="0.25">
      <c r="B13" s="213" t="s">
        <v>48</v>
      </c>
      <c r="C13" s="16" t="s">
        <v>63</v>
      </c>
      <c r="D13" s="17">
        <f>'AES for Habitat target'!F12</f>
        <v>616.5</v>
      </c>
      <c r="E13" s="28" t="s">
        <v>98</v>
      </c>
      <c r="F13" s="215"/>
      <c r="G13" s="213"/>
      <c r="H13" s="156" t="s">
        <v>60</v>
      </c>
      <c r="I13" s="17"/>
      <c r="J13" s="17">
        <f>'Area calculations'!H15*'Area calculations'!C26*D7*17</f>
        <v>396593077.40622902</v>
      </c>
      <c r="K13" s="17"/>
      <c r="L13" s="17"/>
      <c r="M13" s="17">
        <f>'Area calculations'!K16*D7*17/2</f>
        <v>187530838.18034196</v>
      </c>
      <c r="N13" s="17">
        <f>'Area calculations'!L11*'Costings - Gov numbers'!$D7*25/2</f>
        <v>96191145.355961516</v>
      </c>
      <c r="O13" s="17"/>
    </row>
    <row r="14" spans="2:16" x14ac:dyDescent="0.25">
      <c r="B14" s="213"/>
      <c r="C14" s="16" t="s">
        <v>60</v>
      </c>
      <c r="D14" s="17"/>
      <c r="F14" s="215"/>
      <c r="G14" s="213"/>
      <c r="H14" s="156" t="s">
        <v>65</v>
      </c>
      <c r="I14" s="17"/>
      <c r="J14" s="17">
        <f>'Area calculations'!H15*'Area calculations'!C26*D8</f>
        <v>58891514.189681895</v>
      </c>
      <c r="K14" s="17"/>
      <c r="L14" s="17"/>
      <c r="M14" s="17"/>
      <c r="N14" s="17"/>
      <c r="O14" s="17"/>
    </row>
    <row r="15" spans="2:16" x14ac:dyDescent="0.25">
      <c r="B15" s="213" t="s">
        <v>50</v>
      </c>
      <c r="C15" s="16" t="s">
        <v>63</v>
      </c>
      <c r="D15" s="17">
        <f>'AES for Habitat target'!F16</f>
        <v>534.33333333333337</v>
      </c>
      <c r="E15" s="28" t="s">
        <v>98</v>
      </c>
      <c r="F15" s="215"/>
      <c r="G15" s="213" t="s">
        <v>49</v>
      </c>
      <c r="H15" s="16" t="s">
        <v>63</v>
      </c>
      <c r="I15" s="17">
        <f>'Area calculations'!G24*'Costings - Gov numbers'!$D9*5/2</f>
        <v>31721400</v>
      </c>
      <c r="J15" s="17"/>
      <c r="K15" s="17"/>
      <c r="L15" s="17"/>
      <c r="M15" s="17"/>
      <c r="N15" s="17"/>
      <c r="O15" s="17"/>
    </row>
    <row r="16" spans="2:16" x14ac:dyDescent="0.25">
      <c r="B16" s="213"/>
      <c r="C16" s="16" t="s">
        <v>60</v>
      </c>
      <c r="D16" s="17"/>
      <c r="F16" s="215"/>
      <c r="G16" s="213"/>
      <c r="H16" s="16" t="s">
        <v>60</v>
      </c>
      <c r="I16" s="17"/>
      <c r="J16" s="17"/>
      <c r="K16" s="17"/>
      <c r="L16" s="17">
        <f>'Area calculations'!G24*$D7*5/2</f>
        <v>6701847.8092107261</v>
      </c>
      <c r="M16" s="17"/>
      <c r="N16" s="17"/>
      <c r="O16" s="17"/>
    </row>
    <row r="17" spans="2:15" ht="15" customHeight="1" x14ac:dyDescent="0.25">
      <c r="B17" s="3" t="s">
        <v>54</v>
      </c>
      <c r="C17" s="16" t="s">
        <v>57</v>
      </c>
      <c r="D17" s="17">
        <f>'AES for Habitat target'!F9</f>
        <v>23554.5</v>
      </c>
      <c r="E17" s="28" t="s">
        <v>98</v>
      </c>
      <c r="F17" s="215"/>
      <c r="G17" s="213"/>
      <c r="H17" s="16" t="s">
        <v>65</v>
      </c>
      <c r="I17" s="17">
        <f>'Area calculations'!G24*$D8*5</f>
        <v>33836160</v>
      </c>
      <c r="J17" s="17"/>
      <c r="K17" s="17"/>
      <c r="L17" s="17"/>
      <c r="M17" s="17"/>
      <c r="N17" s="17"/>
      <c r="O17" s="17"/>
    </row>
    <row r="18" spans="2:15" x14ac:dyDescent="0.25">
      <c r="F18" s="215"/>
      <c r="G18" s="213" t="s">
        <v>51</v>
      </c>
      <c r="H18" s="16" t="s">
        <v>63</v>
      </c>
      <c r="I18" s="17">
        <f>'Area calculations'!G25*(AVERAGE('Costings - Gov numbers'!$D17:$D19)*5/2)</f>
        <v>528507011.74918622</v>
      </c>
      <c r="J18" s="17"/>
      <c r="K18" s="17"/>
      <c r="L18" s="17"/>
      <c r="M18" s="17"/>
      <c r="N18" s="17"/>
      <c r="O18" s="17"/>
    </row>
    <row r="19" spans="2:15" x14ac:dyDescent="0.25">
      <c r="B19" s="3" t="s">
        <v>112</v>
      </c>
      <c r="C19" s="45" t="s">
        <v>113</v>
      </c>
      <c r="D19" s="17">
        <v>2000</v>
      </c>
      <c r="E19" s="46" t="s">
        <v>116</v>
      </c>
      <c r="F19" s="215"/>
      <c r="G19" s="213"/>
      <c r="H19" s="16" t="s">
        <v>60</v>
      </c>
      <c r="I19" s="17"/>
      <c r="J19" s="17"/>
      <c r="K19" s="17"/>
      <c r="L19" s="17">
        <f>'Area calculations'!G25*$D7*5/2</f>
        <v>5243325.5905124284</v>
      </c>
      <c r="M19" s="17"/>
      <c r="N19" s="17"/>
      <c r="O19" s="17"/>
    </row>
    <row r="20" spans="2:15" x14ac:dyDescent="0.25">
      <c r="B20" s="3" t="s">
        <v>64</v>
      </c>
      <c r="F20" s="215"/>
      <c r="G20" s="213"/>
      <c r="H20" s="16" t="s">
        <v>65</v>
      </c>
      <c r="I20" s="214" t="s">
        <v>97</v>
      </c>
      <c r="J20" s="214"/>
      <c r="K20" s="214"/>
      <c r="L20" s="214"/>
      <c r="M20" s="200"/>
      <c r="N20" s="200"/>
      <c r="O20" s="154"/>
    </row>
    <row r="21" spans="2:15" x14ac:dyDescent="0.25">
      <c r="F21" s="215"/>
      <c r="G21" s="213" t="s">
        <v>48</v>
      </c>
      <c r="H21" s="16" t="s">
        <v>63</v>
      </c>
      <c r="I21" s="17">
        <f>'Area calculations'!G26*'Costings - Gov numbers'!$D13*5/2</f>
        <v>201623381.74374786</v>
      </c>
      <c r="J21" s="17"/>
      <c r="K21" s="17"/>
      <c r="L21" s="17"/>
      <c r="M21" s="17"/>
      <c r="N21" s="17"/>
      <c r="O21" s="17"/>
    </row>
    <row r="22" spans="2:15" x14ac:dyDescent="0.25">
      <c r="F22" s="215"/>
      <c r="G22" s="213"/>
      <c r="H22" s="16" t="s">
        <v>60</v>
      </c>
      <c r="I22" s="17"/>
      <c r="J22" s="17"/>
      <c r="K22" s="17"/>
      <c r="L22" s="17">
        <f>'Area calculations'!G26*$D7*5/2</f>
        <v>41457325.284271844</v>
      </c>
      <c r="M22" s="17"/>
      <c r="N22" s="17"/>
      <c r="O22" s="17"/>
    </row>
    <row r="23" spans="2:15" x14ac:dyDescent="0.25">
      <c r="F23" s="215"/>
      <c r="G23" s="213"/>
      <c r="H23" s="16" t="s">
        <v>65</v>
      </c>
      <c r="I23" s="17">
        <f>'Area calculations'!G26*$D8*5</f>
        <v>209308944.55149817</v>
      </c>
      <c r="J23" s="17"/>
      <c r="K23" s="17"/>
      <c r="L23" s="17"/>
      <c r="M23" s="17"/>
      <c r="N23" s="17"/>
      <c r="O23" s="17"/>
    </row>
    <row r="24" spans="2:15" ht="15" customHeight="1" x14ac:dyDescent="0.25">
      <c r="F24" s="215"/>
      <c r="G24" s="213" t="s">
        <v>50</v>
      </c>
      <c r="H24" s="16" t="s">
        <v>63</v>
      </c>
      <c r="I24" s="17">
        <f>'Area calculations'!G27*'Costings - Gov numbers'!$D15</f>
        <v>14968323.129447335</v>
      </c>
      <c r="J24" s="17"/>
      <c r="K24" s="17"/>
      <c r="L24" s="17"/>
      <c r="M24" s="17"/>
      <c r="N24" s="17"/>
      <c r="O24" s="17"/>
    </row>
    <row r="25" spans="2:15" x14ac:dyDescent="0.25">
      <c r="F25" s="215"/>
      <c r="G25" s="213"/>
      <c r="H25" s="16" t="s">
        <v>60</v>
      </c>
      <c r="I25" s="17"/>
      <c r="J25" s="17"/>
      <c r="K25" s="17"/>
      <c r="L25" s="17">
        <f>'Area calculations'!G27*$D7</f>
        <v>3551030.0518085668</v>
      </c>
      <c r="M25" s="17"/>
      <c r="N25" s="17"/>
      <c r="O25" s="17"/>
    </row>
    <row r="26" spans="2:15" ht="15" customHeight="1" x14ac:dyDescent="0.25">
      <c r="F26" s="215"/>
      <c r="G26" s="213"/>
      <c r="H26" s="16" t="s">
        <v>65</v>
      </c>
      <c r="I26" s="17">
        <f>'Area calculations'!G27*$D8*5</f>
        <v>44820930.144321397</v>
      </c>
      <c r="J26" s="17"/>
      <c r="K26" s="17"/>
      <c r="L26" s="17"/>
      <c r="M26" s="17"/>
      <c r="N26" s="17"/>
      <c r="O26" s="17"/>
    </row>
    <row r="27" spans="2:15" x14ac:dyDescent="0.25">
      <c r="F27" s="15"/>
    </row>
    <row r="28" spans="2:15" ht="15.75" x14ac:dyDescent="0.25">
      <c r="F28" s="3" t="s">
        <v>213</v>
      </c>
      <c r="G28" s="21"/>
      <c r="H28" s="21"/>
      <c r="I28" s="18">
        <f>SUM(I3:I27)</f>
        <v>1064786151.3182011</v>
      </c>
      <c r="J28" s="18">
        <f>SUM(J3:J14)</f>
        <v>964239665.28257859</v>
      </c>
      <c r="K28" s="18">
        <f>K7</f>
        <v>32223914.286351271</v>
      </c>
      <c r="L28" s="18">
        <f>SUM(L12:L27)</f>
        <v>56953528.735803559</v>
      </c>
      <c r="M28" s="18">
        <f>SUM(M3:M27)</f>
        <v>369906245.4855274</v>
      </c>
      <c r="N28" s="18">
        <f>SUM(N3:N27)</f>
        <v>343628801.3559615</v>
      </c>
      <c r="O28" s="18">
        <f>SUM(O3:O27)</f>
        <v>1554005624</v>
      </c>
    </row>
    <row r="29" spans="2:15" ht="15.75" x14ac:dyDescent="0.25">
      <c r="F29" s="13" t="s">
        <v>47</v>
      </c>
      <c r="O29" s="22">
        <f>SUM(I28:O28)</f>
        <v>4385743930.4644232</v>
      </c>
    </row>
    <row r="30" spans="2:15" x14ac:dyDescent="0.25">
      <c r="H30" s="210" t="s">
        <v>232</v>
      </c>
      <c r="I30" s="17">
        <f>J7+K7+M7+O10+J13+M13+N13+L16+L19+L22+L25+J6+M6</f>
        <v>1969479056.4711967</v>
      </c>
      <c r="J30" s="211">
        <f>I30/I34</f>
        <v>0.44906385044296021</v>
      </c>
    </row>
    <row r="31" spans="2:15" x14ac:dyDescent="0.25">
      <c r="H31" s="210" t="s">
        <v>233</v>
      </c>
      <c r="I31" s="17">
        <f>N3+O9+I15+I18+I21+I24</f>
        <v>2007094956.6223814</v>
      </c>
      <c r="J31" s="211">
        <f>I31/I34</f>
        <v>0.45764070781256078</v>
      </c>
    </row>
    <row r="32" spans="2:15" x14ac:dyDescent="0.25">
      <c r="H32" s="210" t="s">
        <v>234</v>
      </c>
      <c r="I32" s="17">
        <f>N4+O11+J14+I17+I23+I26</f>
        <v>399470988.88550144</v>
      </c>
      <c r="J32" s="211">
        <f>I32/I34</f>
        <v>9.1083974627583844E-2</v>
      </c>
    </row>
    <row r="33" spans="8:9" x14ac:dyDescent="0.25">
      <c r="H33" s="210" t="s">
        <v>235</v>
      </c>
      <c r="I33" s="17">
        <f>J5</f>
        <v>9698928.4853441231</v>
      </c>
    </row>
    <row r="34" spans="8:9" x14ac:dyDescent="0.25">
      <c r="I34" s="17">
        <f>SUM(I30:I33)</f>
        <v>4385743930.4644241</v>
      </c>
    </row>
  </sheetData>
  <mergeCells count="17">
    <mergeCell ref="B11:B12"/>
    <mergeCell ref="B13:B14"/>
    <mergeCell ref="B15:B16"/>
    <mergeCell ref="G3:G4"/>
    <mergeCell ref="B4:B5"/>
    <mergeCell ref="B9:B10"/>
    <mergeCell ref="B6:B7"/>
    <mergeCell ref="F3:F7"/>
    <mergeCell ref="I20:L20"/>
    <mergeCell ref="G21:G23"/>
    <mergeCell ref="G24:G26"/>
    <mergeCell ref="G6:G7"/>
    <mergeCell ref="F9:F26"/>
    <mergeCell ref="G9:G11"/>
    <mergeCell ref="G12:G14"/>
    <mergeCell ref="G15:G17"/>
    <mergeCell ref="G18:G20"/>
  </mergeCells>
  <hyperlinks>
    <hyperlink ref="E3" r:id="rId1" xr:uid="{2152D8ED-17CC-4228-A5C5-D7B481942ACF}"/>
    <hyperlink ref="E4" r:id="rId2" xr:uid="{A1CA6BF5-5830-4127-983E-53D4ADC26386}"/>
    <hyperlink ref="E8" r:id="rId3" xr:uid="{10C7D18D-CC6E-478D-9322-009E11EA1C8E}"/>
    <hyperlink ref="E5" r:id="rId4" xr:uid="{20EE3D0C-0CEA-4300-AB1C-C72A43FED41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27E4D-5EB8-42B5-B834-FBA3D425F214}">
  <dimension ref="B1:P64"/>
  <sheetViews>
    <sheetView workbookViewId="0">
      <selection activeCell="J16" sqref="J16"/>
    </sheetView>
  </sheetViews>
  <sheetFormatPr defaultColWidth="9.140625" defaultRowHeight="15.75" x14ac:dyDescent="0.25"/>
  <cols>
    <col min="1" max="1" width="9.140625" style="21"/>
    <col min="2" max="2" width="63.140625" style="21" customWidth="1"/>
    <col min="3" max="3" width="24.42578125" style="21" customWidth="1"/>
    <col min="4" max="4" width="9.140625" style="21"/>
    <col min="5" max="5" width="18.5703125" style="21" customWidth="1"/>
    <col min="6" max="6" width="9.5703125" style="21" bestFit="1" customWidth="1"/>
    <col min="7" max="7" width="16.42578125" style="21" customWidth="1"/>
    <col min="8" max="16384" width="9.140625" style="21"/>
  </cols>
  <sheetData>
    <row r="1" spans="2:16" ht="16.5" thickBot="1" x14ac:dyDescent="0.3"/>
    <row r="2" spans="2:16" ht="16.5" thickBot="1" x14ac:dyDescent="0.3">
      <c r="B2" s="126" t="s">
        <v>125</v>
      </c>
      <c r="C2" s="129" t="s">
        <v>9</v>
      </c>
      <c r="D2" s="13"/>
      <c r="E2" s="126" t="s">
        <v>52</v>
      </c>
      <c r="F2" s="27" t="s">
        <v>0</v>
      </c>
      <c r="G2" s="127" t="s">
        <v>4</v>
      </c>
      <c r="H2" s="13"/>
      <c r="I2" s="13"/>
      <c r="J2" s="13"/>
      <c r="K2" s="13"/>
      <c r="L2" s="13"/>
      <c r="M2" s="13"/>
      <c r="N2" s="222" t="s">
        <v>53</v>
      </c>
      <c r="O2" s="222"/>
      <c r="P2" s="223"/>
    </row>
    <row r="3" spans="2:16" x14ac:dyDescent="0.25">
      <c r="B3" s="170" t="s">
        <v>10</v>
      </c>
      <c r="C3" s="135">
        <v>187.94926386610001</v>
      </c>
      <c r="E3" s="133" t="s">
        <v>49</v>
      </c>
      <c r="F3" s="141">
        <v>81023.199999999997</v>
      </c>
      <c r="G3" s="134"/>
      <c r="N3" s="222" t="s">
        <v>164</v>
      </c>
      <c r="O3" s="222" t="s">
        <v>165</v>
      </c>
      <c r="P3" s="223"/>
    </row>
    <row r="4" spans="2:16" x14ac:dyDescent="0.25">
      <c r="B4" s="58" t="s">
        <v>11</v>
      </c>
      <c r="C4" s="136">
        <v>39391.920984495504</v>
      </c>
      <c r="E4" s="130" t="s">
        <v>51</v>
      </c>
      <c r="F4" s="142">
        <v>35594.6</v>
      </c>
      <c r="G4" s="115" t="s">
        <v>126</v>
      </c>
      <c r="N4" s="224">
        <v>90226.406172856703</v>
      </c>
      <c r="O4" s="224">
        <v>170652.17551874567</v>
      </c>
      <c r="P4" s="224">
        <f>SUM(N4:O4)</f>
        <v>260878.58169160236</v>
      </c>
    </row>
    <row r="5" spans="2:16" x14ac:dyDescent="0.25">
      <c r="B5" s="58" t="s">
        <v>12</v>
      </c>
      <c r="C5" s="136">
        <v>271.9269594379</v>
      </c>
      <c r="E5" s="131" t="s">
        <v>48</v>
      </c>
      <c r="F5" s="143">
        <v>281435.3</v>
      </c>
      <c r="G5" s="68"/>
      <c r="N5" s="223"/>
      <c r="O5" s="223"/>
      <c r="P5" s="223"/>
    </row>
    <row r="6" spans="2:16" ht="16.5" thickBot="1" x14ac:dyDescent="0.3">
      <c r="B6" s="58" t="s">
        <v>13</v>
      </c>
      <c r="C6" s="136">
        <v>31.095402576300003</v>
      </c>
      <c r="E6" s="132" t="s">
        <v>50</v>
      </c>
      <c r="F6" s="144">
        <v>60265.9</v>
      </c>
      <c r="G6" s="69"/>
      <c r="N6" s="222" t="s">
        <v>166</v>
      </c>
      <c r="O6" s="223"/>
      <c r="P6" s="223"/>
    </row>
    <row r="7" spans="2:16" x14ac:dyDescent="0.25">
      <c r="B7" s="58" t="s">
        <v>167</v>
      </c>
      <c r="C7" s="136">
        <v>2.9916775504999999</v>
      </c>
      <c r="N7" s="222" t="s">
        <v>164</v>
      </c>
      <c r="O7" s="222" t="s">
        <v>165</v>
      </c>
      <c r="P7" s="223"/>
    </row>
    <row r="8" spans="2:16" x14ac:dyDescent="0.25">
      <c r="B8" s="58" t="s">
        <v>14</v>
      </c>
      <c r="C8" s="136">
        <v>10172.546310575599</v>
      </c>
      <c r="N8" s="223">
        <v>7383</v>
      </c>
      <c r="O8" s="223">
        <v>7927</v>
      </c>
      <c r="P8" s="224">
        <f>SUM(N8:O8)</f>
        <v>15310</v>
      </c>
    </row>
    <row r="9" spans="2:16" x14ac:dyDescent="0.25">
      <c r="B9" s="58" t="s">
        <v>15</v>
      </c>
      <c r="C9" s="136">
        <v>6.4230096697999999</v>
      </c>
    </row>
    <row r="10" spans="2:16" x14ac:dyDescent="0.25">
      <c r="B10" s="58" t="s">
        <v>16</v>
      </c>
      <c r="C10" s="136">
        <v>3915.7944676846</v>
      </c>
    </row>
    <row r="11" spans="2:16" x14ac:dyDescent="0.25">
      <c r="B11" s="58" t="s">
        <v>168</v>
      </c>
      <c r="C11" s="136">
        <v>15.6860021725</v>
      </c>
    </row>
    <row r="12" spans="2:16" x14ac:dyDescent="0.25">
      <c r="B12" s="58" t="s">
        <v>17</v>
      </c>
      <c r="C12" s="136">
        <v>23.092179844399997</v>
      </c>
    </row>
    <row r="13" spans="2:16" x14ac:dyDescent="0.25">
      <c r="B13" s="58" t="s">
        <v>169</v>
      </c>
      <c r="C13" s="136">
        <v>34.4970596199</v>
      </c>
    </row>
    <row r="14" spans="2:16" x14ac:dyDescent="0.25">
      <c r="B14" s="58" t="s">
        <v>170</v>
      </c>
      <c r="C14" s="136">
        <v>30.624298411800002</v>
      </c>
    </row>
    <row r="15" spans="2:16" x14ac:dyDescent="0.25">
      <c r="B15" s="58" t="s">
        <v>18</v>
      </c>
      <c r="C15" s="136">
        <v>61.331702784899996</v>
      </c>
    </row>
    <row r="16" spans="2:16" x14ac:dyDescent="0.25">
      <c r="B16" s="58" t="s">
        <v>19</v>
      </c>
      <c r="C16" s="136">
        <v>20.509129938800001</v>
      </c>
    </row>
    <row r="17" spans="2:3" x14ac:dyDescent="0.25">
      <c r="B17" s="58" t="s">
        <v>171</v>
      </c>
      <c r="C17" s="136">
        <v>0.98065620639999995</v>
      </c>
    </row>
    <row r="18" spans="2:3" x14ac:dyDescent="0.25">
      <c r="B18" s="58" t="s">
        <v>20</v>
      </c>
      <c r="C18" s="136">
        <v>952.93811385959998</v>
      </c>
    </row>
    <row r="19" spans="2:3" x14ac:dyDescent="0.25">
      <c r="B19" s="58" t="s">
        <v>172</v>
      </c>
      <c r="C19" s="136">
        <v>2.6804929199999997E-2</v>
      </c>
    </row>
    <row r="20" spans="2:3" x14ac:dyDescent="0.25">
      <c r="B20" s="58" t="s">
        <v>173</v>
      </c>
      <c r="C20" s="136">
        <v>2.8353128660999998</v>
      </c>
    </row>
    <row r="21" spans="2:3" x14ac:dyDescent="0.25">
      <c r="B21" s="58" t="s">
        <v>174</v>
      </c>
      <c r="C21" s="137">
        <v>87.349973379099993</v>
      </c>
    </row>
    <row r="22" spans="2:3" x14ac:dyDescent="0.25">
      <c r="B22" s="58" t="s">
        <v>21</v>
      </c>
      <c r="C22" s="137">
        <v>1374.4295040362999</v>
      </c>
    </row>
    <row r="23" spans="2:3" x14ac:dyDescent="0.25">
      <c r="B23" s="58" t="s">
        <v>175</v>
      </c>
      <c r="C23" s="138">
        <v>6391.6263897127001</v>
      </c>
    </row>
    <row r="24" spans="2:3" x14ac:dyDescent="0.25">
      <c r="B24" s="58" t="s">
        <v>22</v>
      </c>
      <c r="C24" s="138">
        <v>44026.4489316736</v>
      </c>
    </row>
    <row r="25" spans="2:3" x14ac:dyDescent="0.25">
      <c r="B25" s="58" t="s">
        <v>23</v>
      </c>
      <c r="C25" s="138">
        <v>2.5929068222000002</v>
      </c>
    </row>
    <row r="26" spans="2:3" x14ac:dyDescent="0.25">
      <c r="B26" s="58" t="s">
        <v>176</v>
      </c>
      <c r="C26" s="138">
        <v>130520.9813457454</v>
      </c>
    </row>
    <row r="27" spans="2:3" x14ac:dyDescent="0.25">
      <c r="B27" s="58" t="s">
        <v>24</v>
      </c>
      <c r="C27" s="139">
        <v>1512.5508664947999</v>
      </c>
    </row>
    <row r="28" spans="2:3" x14ac:dyDescent="0.25">
      <c r="B28" s="58" t="s">
        <v>177</v>
      </c>
      <c r="C28" s="139">
        <v>8.9588219432000002</v>
      </c>
    </row>
    <row r="29" spans="2:3" x14ac:dyDescent="0.25">
      <c r="B29" s="58" t="s">
        <v>178</v>
      </c>
      <c r="C29" s="139">
        <v>1.4305948699</v>
      </c>
    </row>
    <row r="30" spans="2:3" x14ac:dyDescent="0.25">
      <c r="B30" s="58" t="s">
        <v>179</v>
      </c>
      <c r="C30" s="139">
        <v>0.36876792559999999</v>
      </c>
    </row>
    <row r="31" spans="2:3" x14ac:dyDescent="0.25">
      <c r="B31" s="58" t="s">
        <v>180</v>
      </c>
      <c r="C31" s="137">
        <v>1007.3251513444</v>
      </c>
    </row>
    <row r="32" spans="2:3" x14ac:dyDescent="0.25">
      <c r="B32" s="58" t="s">
        <v>181</v>
      </c>
      <c r="C32" s="138">
        <v>52.683154898800005</v>
      </c>
    </row>
    <row r="33" spans="2:3" x14ac:dyDescent="0.25">
      <c r="B33" s="58" t="s">
        <v>25</v>
      </c>
      <c r="C33" s="138">
        <v>33249.891462541404</v>
      </c>
    </row>
    <row r="34" spans="2:3" x14ac:dyDescent="0.25">
      <c r="B34" s="58" t="s">
        <v>182</v>
      </c>
      <c r="C34" s="138">
        <v>5.4365934205000004</v>
      </c>
    </row>
    <row r="35" spans="2:3" x14ac:dyDescent="0.25">
      <c r="B35" s="58" t="s">
        <v>26</v>
      </c>
      <c r="C35" s="138">
        <v>95.227826518900002</v>
      </c>
    </row>
    <row r="36" spans="2:3" x14ac:dyDescent="0.25">
      <c r="B36" s="58" t="s">
        <v>27</v>
      </c>
      <c r="C36" s="138">
        <v>9716.8050474897991</v>
      </c>
    </row>
    <row r="37" spans="2:3" x14ac:dyDescent="0.25">
      <c r="B37" s="58" t="s">
        <v>183</v>
      </c>
      <c r="C37" s="138">
        <v>1.5079958307000001</v>
      </c>
    </row>
    <row r="38" spans="2:3" x14ac:dyDescent="0.25">
      <c r="B38" s="58" t="s">
        <v>28</v>
      </c>
      <c r="C38" s="138">
        <v>313.66642665490002</v>
      </c>
    </row>
    <row r="39" spans="2:3" x14ac:dyDescent="0.25">
      <c r="B39" s="58" t="s">
        <v>29</v>
      </c>
      <c r="C39" s="138">
        <v>139.78455939989999</v>
      </c>
    </row>
    <row r="40" spans="2:3" x14ac:dyDescent="0.25">
      <c r="B40" s="58" t="s">
        <v>30</v>
      </c>
      <c r="C40" s="139">
        <v>7302.6884183551001</v>
      </c>
    </row>
    <row r="41" spans="2:3" x14ac:dyDescent="0.25">
      <c r="B41" s="58" t="s">
        <v>31</v>
      </c>
      <c r="C41" s="139">
        <v>9.996547960900001</v>
      </c>
    </row>
    <row r="42" spans="2:3" x14ac:dyDescent="0.25">
      <c r="B42" s="58" t="s">
        <v>32</v>
      </c>
      <c r="C42" s="139">
        <v>235.5077431656</v>
      </c>
    </row>
    <row r="43" spans="2:3" x14ac:dyDescent="0.25">
      <c r="B43" s="58" t="s">
        <v>33</v>
      </c>
      <c r="C43" s="138">
        <v>35046.116793716297</v>
      </c>
    </row>
    <row r="44" spans="2:3" x14ac:dyDescent="0.25">
      <c r="B44" s="58" t="s">
        <v>34</v>
      </c>
      <c r="C44" s="138">
        <v>274.4645118697</v>
      </c>
    </row>
    <row r="45" spans="2:3" x14ac:dyDescent="0.25">
      <c r="B45" s="58" t="s">
        <v>35</v>
      </c>
      <c r="C45" s="138">
        <v>8641.0775155675001</v>
      </c>
    </row>
    <row r="46" spans="2:3" x14ac:dyDescent="0.25">
      <c r="B46" s="58" t="s">
        <v>36</v>
      </c>
      <c r="C46" s="138">
        <v>113.01729018190001</v>
      </c>
    </row>
    <row r="47" spans="2:3" x14ac:dyDescent="0.25">
      <c r="B47" s="58" t="s">
        <v>37</v>
      </c>
      <c r="C47" s="136">
        <v>8686.5098966191999</v>
      </c>
    </row>
    <row r="48" spans="2:3" x14ac:dyDescent="0.25">
      <c r="B48" s="58" t="s">
        <v>38</v>
      </c>
      <c r="C48" s="136">
        <v>3.0609720574999999</v>
      </c>
    </row>
    <row r="49" spans="2:3" x14ac:dyDescent="0.25">
      <c r="B49" s="58" t="s">
        <v>184</v>
      </c>
      <c r="C49" s="136">
        <v>0.2756480348</v>
      </c>
    </row>
    <row r="50" spans="2:3" x14ac:dyDescent="0.25">
      <c r="B50" s="58" t="s">
        <v>185</v>
      </c>
      <c r="C50" s="136">
        <v>0.60550364489999997</v>
      </c>
    </row>
    <row r="51" spans="2:3" x14ac:dyDescent="0.25">
      <c r="B51" s="58" t="s">
        <v>186</v>
      </c>
      <c r="C51" s="138">
        <v>1495.2351901554</v>
      </c>
    </row>
    <row r="52" spans="2:3" x14ac:dyDescent="0.25">
      <c r="B52" s="58" t="s">
        <v>39</v>
      </c>
      <c r="C52" s="136">
        <v>17108.436379004001</v>
      </c>
    </row>
    <row r="53" spans="2:3" x14ac:dyDescent="0.25">
      <c r="B53" s="58" t="s">
        <v>40</v>
      </c>
      <c r="C53" s="137">
        <v>57796.753826134998</v>
      </c>
    </row>
    <row r="54" spans="2:3" x14ac:dyDescent="0.25">
      <c r="B54" s="58" t="s">
        <v>41</v>
      </c>
      <c r="C54" s="145">
        <v>349.75771249669998</v>
      </c>
    </row>
    <row r="55" spans="2:3" x14ac:dyDescent="0.25">
      <c r="B55" s="58" t="s">
        <v>42</v>
      </c>
      <c r="C55" s="145">
        <v>0.22206005000000001</v>
      </c>
    </row>
    <row r="56" spans="2:3" x14ac:dyDescent="0.25">
      <c r="B56" s="58" t="s">
        <v>43</v>
      </c>
      <c r="C56" s="139">
        <v>8139.2581445735996</v>
      </c>
    </row>
    <row r="57" spans="2:3" x14ac:dyDescent="0.25">
      <c r="B57" s="58" t="s">
        <v>44</v>
      </c>
      <c r="C57" s="139">
        <v>1520.2099291618001</v>
      </c>
    </row>
    <row r="58" spans="2:3" x14ac:dyDescent="0.25">
      <c r="B58" s="58" t="s">
        <v>45</v>
      </c>
      <c r="C58" s="139">
        <v>262.9577929335</v>
      </c>
    </row>
    <row r="59" spans="2:3" x14ac:dyDescent="0.25">
      <c r="B59" s="58" t="s">
        <v>187</v>
      </c>
      <c r="C59" s="139">
        <v>0.15233990189999999</v>
      </c>
    </row>
    <row r="60" spans="2:3" x14ac:dyDescent="0.25">
      <c r="B60" s="58" t="s">
        <v>46</v>
      </c>
      <c r="C60" s="136">
        <v>289.06642828560001</v>
      </c>
    </row>
    <row r="61" spans="2:3" x14ac:dyDescent="0.25">
      <c r="B61" s="58" t="s">
        <v>188</v>
      </c>
      <c r="C61" s="138">
        <v>8991.8723032674006</v>
      </c>
    </row>
    <row r="62" spans="2:3" x14ac:dyDescent="0.25">
      <c r="B62" s="58" t="s">
        <v>189</v>
      </c>
      <c r="C62" s="139">
        <v>16250.5766822932</v>
      </c>
    </row>
    <row r="63" spans="2:3" ht="16.5" thickBot="1" x14ac:dyDescent="0.3">
      <c r="B63" s="171" t="s">
        <v>190</v>
      </c>
      <c r="C63" s="172">
        <v>2168.9414984747</v>
      </c>
    </row>
    <row r="64" spans="2:3" ht="16.5" thickBot="1" x14ac:dyDescent="0.3">
      <c r="B64" s="128" t="s">
        <v>92</v>
      </c>
      <c r="C64" s="140">
        <v>458318.99678509816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B919E-17BC-4541-8704-EB145425DDEC}">
  <dimension ref="B1:H20"/>
  <sheetViews>
    <sheetView workbookViewId="0">
      <selection activeCell="B24" sqref="B24"/>
    </sheetView>
  </sheetViews>
  <sheetFormatPr defaultColWidth="9.140625" defaultRowHeight="15.75" x14ac:dyDescent="0.25"/>
  <cols>
    <col min="1" max="1" width="9.140625" style="21"/>
    <col min="2" max="2" width="102.5703125" style="21" customWidth="1"/>
    <col min="3" max="3" width="51.42578125" style="21" customWidth="1"/>
    <col min="4" max="4" width="17.28515625" style="21" customWidth="1"/>
    <col min="5" max="5" width="14.140625" style="21" customWidth="1"/>
    <col min="6" max="6" width="10" style="21" customWidth="1"/>
    <col min="7" max="7" width="20.28515625" style="21" customWidth="1"/>
    <col min="8" max="16384" width="9.140625" style="21"/>
  </cols>
  <sheetData>
    <row r="1" spans="2:8" ht="16.5" thickBot="1" x14ac:dyDescent="0.3"/>
    <row r="2" spans="2:8" ht="16.5" thickBot="1" x14ac:dyDescent="0.3">
      <c r="B2" s="48" t="s">
        <v>74</v>
      </c>
      <c r="C2" s="49" t="s">
        <v>75</v>
      </c>
      <c r="D2" s="50" t="s">
        <v>86</v>
      </c>
      <c r="E2" s="47" t="s">
        <v>88</v>
      </c>
      <c r="F2" s="47" t="s">
        <v>123</v>
      </c>
      <c r="G2" s="51" t="s">
        <v>4</v>
      </c>
    </row>
    <row r="3" spans="2:8" x14ac:dyDescent="0.25">
      <c r="B3" s="52" t="s">
        <v>218</v>
      </c>
      <c r="C3" s="53" t="s">
        <v>84</v>
      </c>
      <c r="D3" s="54" t="s">
        <v>49</v>
      </c>
      <c r="E3" s="55">
        <v>812</v>
      </c>
      <c r="F3" s="55">
        <f>AVERAGE(E3:E5)</f>
        <v>600</v>
      </c>
      <c r="G3" s="56"/>
    </row>
    <row r="4" spans="2:8" x14ac:dyDescent="0.25">
      <c r="B4" s="72" t="s">
        <v>219</v>
      </c>
      <c r="C4" s="73" t="s">
        <v>84</v>
      </c>
      <c r="D4" s="74" t="s">
        <v>49</v>
      </c>
      <c r="E4" s="75">
        <v>494</v>
      </c>
      <c r="F4" s="57"/>
      <c r="G4" s="56"/>
    </row>
    <row r="5" spans="2:8" ht="16.5" thickBot="1" x14ac:dyDescent="0.3">
      <c r="B5" s="72" t="s">
        <v>220</v>
      </c>
      <c r="C5" s="73" t="s">
        <v>84</v>
      </c>
      <c r="D5" s="74" t="s">
        <v>49</v>
      </c>
      <c r="E5" s="75">
        <v>494</v>
      </c>
      <c r="F5" s="57"/>
      <c r="G5" s="56"/>
      <c r="H5" s="58"/>
    </row>
    <row r="6" spans="2:8" s="65" customFormat="1" x14ac:dyDescent="0.25">
      <c r="B6" s="59" t="s">
        <v>221</v>
      </c>
      <c r="C6" s="60" t="s">
        <v>77</v>
      </c>
      <c r="D6" s="61" t="s">
        <v>51</v>
      </c>
      <c r="E6" s="62">
        <v>1605</v>
      </c>
      <c r="F6" s="63">
        <f>AVERAGE(E6:E8)</f>
        <v>667</v>
      </c>
      <c r="G6" s="64"/>
    </row>
    <row r="7" spans="2:8" x14ac:dyDescent="0.25">
      <c r="B7" s="77" t="s">
        <v>222</v>
      </c>
      <c r="C7" s="78" t="s">
        <v>77</v>
      </c>
      <c r="D7" s="76" t="s">
        <v>51</v>
      </c>
      <c r="E7" s="79">
        <v>181</v>
      </c>
      <c r="F7" s="66"/>
      <c r="G7" s="67"/>
    </row>
    <row r="8" spans="2:8" x14ac:dyDescent="0.25">
      <c r="B8" s="82" t="s">
        <v>223</v>
      </c>
      <c r="C8" s="80" t="s">
        <v>77</v>
      </c>
      <c r="D8" s="81" t="s">
        <v>51</v>
      </c>
      <c r="E8" s="79">
        <v>215</v>
      </c>
      <c r="F8" s="66"/>
      <c r="G8" s="67"/>
    </row>
    <row r="9" spans="2:8" x14ac:dyDescent="0.25">
      <c r="B9" s="112" t="s">
        <v>81</v>
      </c>
      <c r="C9" s="206" t="s">
        <v>41</v>
      </c>
      <c r="D9" s="113" t="s">
        <v>54</v>
      </c>
      <c r="E9" s="114">
        <v>28215</v>
      </c>
      <c r="F9" s="114">
        <f>AVERAGE(E9:E10)</f>
        <v>23554.5</v>
      </c>
      <c r="G9" s="115" t="s">
        <v>89</v>
      </c>
      <c r="H9" s="21" t="s">
        <v>91</v>
      </c>
    </row>
    <row r="10" spans="2:8" x14ac:dyDescent="0.25">
      <c r="B10" s="116" t="s">
        <v>82</v>
      </c>
      <c r="C10" s="207" t="s">
        <v>41</v>
      </c>
      <c r="D10" s="117" t="s">
        <v>54</v>
      </c>
      <c r="E10" s="118">
        <v>18894</v>
      </c>
      <c r="F10" s="119"/>
      <c r="G10" s="115" t="s">
        <v>89</v>
      </c>
    </row>
    <row r="11" spans="2:8" ht="16.5" thickBot="1" x14ac:dyDescent="0.3">
      <c r="B11" s="120" t="s">
        <v>83</v>
      </c>
      <c r="C11" s="121" t="s">
        <v>24</v>
      </c>
      <c r="D11" s="122" t="s">
        <v>54</v>
      </c>
      <c r="E11" s="123" t="s">
        <v>90</v>
      </c>
      <c r="F11" s="124"/>
      <c r="G11" s="125"/>
    </row>
    <row r="12" spans="2:8" x14ac:dyDescent="0.25">
      <c r="B12" s="84" t="s">
        <v>227</v>
      </c>
      <c r="C12" s="85" t="s">
        <v>76</v>
      </c>
      <c r="D12" s="70" t="s">
        <v>48</v>
      </c>
      <c r="E12" s="86">
        <v>646</v>
      </c>
      <c r="F12" s="86">
        <f>AVERAGE(E12:E15)</f>
        <v>616.5</v>
      </c>
      <c r="G12" s="93"/>
    </row>
    <row r="13" spans="2:8" x14ac:dyDescent="0.25">
      <c r="B13" s="87" t="s">
        <v>226</v>
      </c>
      <c r="C13" s="88" t="s">
        <v>78</v>
      </c>
      <c r="D13" s="83" t="s">
        <v>48</v>
      </c>
      <c r="E13" s="89">
        <v>711</v>
      </c>
      <c r="F13" s="94"/>
      <c r="G13" s="93"/>
    </row>
    <row r="14" spans="2:8" x14ac:dyDescent="0.25">
      <c r="B14" s="87" t="s">
        <v>224</v>
      </c>
      <c r="C14" s="88" t="s">
        <v>78</v>
      </c>
      <c r="D14" s="83" t="s">
        <v>48</v>
      </c>
      <c r="E14" s="89">
        <v>311</v>
      </c>
      <c r="F14" s="94"/>
      <c r="G14" s="93"/>
    </row>
    <row r="15" spans="2:8" ht="16.5" thickBot="1" x14ac:dyDescent="0.3">
      <c r="B15" s="90" t="s">
        <v>225</v>
      </c>
      <c r="C15" s="91" t="s">
        <v>79</v>
      </c>
      <c r="D15" s="71" t="s">
        <v>48</v>
      </c>
      <c r="E15" s="92">
        <v>798</v>
      </c>
      <c r="F15" s="95"/>
      <c r="G15" s="96"/>
    </row>
    <row r="16" spans="2:8" x14ac:dyDescent="0.25">
      <c r="B16" s="97" t="s">
        <v>228</v>
      </c>
      <c r="C16" s="98" t="s">
        <v>80</v>
      </c>
      <c r="D16" s="99" t="s">
        <v>87</v>
      </c>
      <c r="E16" s="100">
        <v>588</v>
      </c>
      <c r="F16" s="100">
        <f>AVERAGE(E16:E18)</f>
        <v>534.33333333333337</v>
      </c>
      <c r="G16" s="101"/>
    </row>
    <row r="17" spans="2:7" x14ac:dyDescent="0.25">
      <c r="B17" s="102" t="s">
        <v>229</v>
      </c>
      <c r="C17" s="103" t="s">
        <v>80</v>
      </c>
      <c r="D17" s="104" t="s">
        <v>87</v>
      </c>
      <c r="E17" s="105">
        <v>471</v>
      </c>
      <c r="F17" s="106"/>
      <c r="G17" s="101"/>
    </row>
    <row r="18" spans="2:7" x14ac:dyDescent="0.25">
      <c r="B18" s="102" t="s">
        <v>230</v>
      </c>
      <c r="C18" s="103" t="s">
        <v>80</v>
      </c>
      <c r="D18" s="104" t="s">
        <v>87</v>
      </c>
      <c r="E18" s="105">
        <v>544</v>
      </c>
      <c r="F18" s="106"/>
      <c r="G18" s="101"/>
    </row>
    <row r="19" spans="2:7" x14ac:dyDescent="0.25">
      <c r="B19" s="102" t="s">
        <v>85</v>
      </c>
      <c r="C19" s="207" t="s">
        <v>80</v>
      </c>
      <c r="D19" s="104" t="s">
        <v>87</v>
      </c>
      <c r="E19" s="105"/>
      <c r="F19" s="106"/>
      <c r="G19" s="101"/>
    </row>
    <row r="20" spans="2:7" ht="16.5" thickBot="1" x14ac:dyDescent="0.3">
      <c r="B20" s="107" t="s">
        <v>124</v>
      </c>
      <c r="C20" s="205" t="s">
        <v>80</v>
      </c>
      <c r="D20" s="108" t="s">
        <v>87</v>
      </c>
      <c r="E20" s="109"/>
      <c r="F20" s="110"/>
      <c r="G20" s="111"/>
    </row>
  </sheetData>
  <sortState xmlns:xlrd2="http://schemas.microsoft.com/office/spreadsheetml/2017/richdata2" ref="B3:E20">
    <sortCondition ref="D3:D20"/>
  </sortState>
  <hyperlinks>
    <hyperlink ref="B12" r:id="rId1" display="https://www.gov.uk/countryside-stewardship-grants/restoration-towards-species-rich-grassland-gs7" xr:uid="{7486BA88-F7CB-47B0-BB94-025AD5D54255}"/>
    <hyperlink ref="B6" r:id="rId2" display="https://www.gov.uk/countryside-stewardship-grants/creation-of-fen-wt9" xr:uid="{48B41095-BFBC-430B-A2C7-51F7D67AD27B}"/>
    <hyperlink ref="B7" r:id="rId3" display="https://www.gov.uk/countryside-stewardship-grants/moorland-re-wetting-supplement-up5" xr:uid="{E15D5646-9F9D-4959-8216-5CD0E6A810A8}"/>
    <hyperlink ref="B13" r:id="rId4" display="https://www.gov.uk/countryside-stewardship-grants/creation-of-heathland-from-arable-or-improved-grassland-lh3" xr:uid="{3535154B-5A31-46AE-A4F8-BA8BEF90DC11}"/>
    <hyperlink ref="B14" r:id="rId5" display="https://www.gov.uk/countryside-stewardship-grants/restoration-of-forestry-and-woodland-to-lowland-heathland-lh2" xr:uid="{56EC4CE6-422B-46C5-8AC3-29C0B897FE0E}"/>
    <hyperlink ref="B15" r:id="rId6" display="https://www.gov.uk/countryside-stewardship-grants/flower-rich-margins-and-plots-ab8" xr:uid="{5B8F06DA-BB7B-4195-89F7-3F7F100337B0}"/>
    <hyperlink ref="B16" r:id="rId7" display="https://www.gov.uk/countryside-stewardship-grants/creation-of-successional-areas-and-scrub-wd8" xr:uid="{D021E69E-7BF5-40E8-AC59-EA7471F301B3}"/>
    <hyperlink ref="B9" r:id="rId8" display="https://www.gov.uk/countryside-stewardship-grants/pond-management-first-100-sq-m-wn5" xr:uid="{E11A5BF7-0069-475E-B390-AF7C9661FBF7}"/>
    <hyperlink ref="B10" r:id="rId9" display="https://www.gov.uk/countryside-stewardship-grants/pond-management-areas-more-than-100-sq-m-wn6" xr:uid="{7804245A-B06C-4D3B-9058-24FB31CD9B96}"/>
    <hyperlink ref="B11" r:id="rId10" display="https://www.gov.uk/countryside-stewardship-grants/restoration-of-large-water-bodies-wn7" xr:uid="{C8A196D0-68DB-4945-B6F9-2766E199D164}"/>
    <hyperlink ref="B17" r:id="rId11" display="https://www.gov.uk/countryside-stewardship-grants/creation-of-traditional-orchards-be5" xr:uid="{8BF6318B-7E24-40A2-8E2F-652C623A43B7}"/>
    <hyperlink ref="B18" r:id="rId12" display="https://www.gov.uk/countryside-stewardship-grants/creation-of-wood-pasture-wd6" xr:uid="{126BBBD5-44EB-4CE0-9D9B-075B641A9285}"/>
    <hyperlink ref="B3" r:id="rId13" display="https://www.gov.uk/countryside-stewardship-grants/creation-of-inter-tidal-and-saline-habitat-on-arable-land-ct4" xr:uid="{06EC6342-F00E-4DC1-9315-181774525A35}"/>
    <hyperlink ref="B4" r:id="rId14" display="https://www.gov.uk/countryside-stewardship-grants/creation-of-inter-tidal-and-saline-habitat-by-non-intervention-ct5" xr:uid="{7681CCAB-8F7E-41F8-A178-506F2A0221EC}"/>
    <hyperlink ref="B5" r:id="rId15" display="https://www.gov.uk/countryside-stewardship-grants/creation-of-inter-tidal-and-saline-habitat-on-intensive-grassland-ct7" xr:uid="{7C1A2EDF-06ED-4B59-9E14-8FB133FA8EF8}"/>
    <hyperlink ref="B19" r:id="rId16" display="https://www.gov.uk/countryside-stewardship-grants/hedgerow-gapping-up-bn7" xr:uid="{513BCF68-FF0A-45EE-BDDC-0630D4B1ED20}"/>
    <hyperlink ref="B20" r:id="rId17" display="https://www.gov.uk/countryside-stewardship-grants/planting-new-hedges-bn11" xr:uid="{0A10F852-9397-4159-B2F8-CBE0388C54A5}"/>
    <hyperlink ref="B8" r:id="rId18" display="https://www.gov.uk/countryside-stewardship-grants/management-of-lowland-raised-bog-wt10" xr:uid="{546AE8D9-0801-4C0E-B4D2-BFA4FD78622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A5C8CA3D0C7C4B9AE51A6A78153004" ma:contentTypeVersion="14" ma:contentTypeDescription="Create a new document." ma:contentTypeScope="" ma:versionID="d4c2e7b2a34f7a3e4310c94ebea888e7">
  <xsd:schema xmlns:xsd="http://www.w3.org/2001/XMLSchema" xmlns:xs="http://www.w3.org/2001/XMLSchema" xmlns:p="http://schemas.microsoft.com/office/2006/metadata/properties" xmlns:ns2="77a63796-0db0-4ddf-918e-f5551702d0e9" xmlns:ns3="94c9a18c-1253-4343-bf23-979a503c4854" targetNamespace="http://schemas.microsoft.com/office/2006/metadata/properties" ma:root="true" ma:fieldsID="869ed826c3a591f55aaaaab093e1e898" ns2:_="" ns3:_="">
    <xsd:import namespace="77a63796-0db0-4ddf-918e-f5551702d0e9"/>
    <xsd:import namespace="94c9a18c-1253-4343-bf23-979a503c48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63796-0db0-4ddf-918e-f5551702d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7451578-5a2b-42aa-b213-be844a93f1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9a18c-1253-4343-bf23-979a503c485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38da93f-e908-48ec-a9e7-61ddecd6b101}" ma:internalName="TaxCatchAll" ma:showField="CatchAllData" ma:web="94c9a18c-1253-4343-bf23-979a503c48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a63796-0db0-4ddf-918e-f5551702d0e9">
      <Terms xmlns="http://schemas.microsoft.com/office/infopath/2007/PartnerControls"/>
    </lcf76f155ced4ddcb4097134ff3c332f>
    <TaxCatchAll xmlns="94c9a18c-1253-4343-bf23-979a503c4854" xsi:nil="true"/>
  </documentManagement>
</p:properties>
</file>

<file path=customXml/itemProps1.xml><?xml version="1.0" encoding="utf-8"?>
<ds:datastoreItem xmlns:ds="http://schemas.openxmlformats.org/officeDocument/2006/customXml" ds:itemID="{62C7C91D-9FD5-4016-98A1-8B4FF9143EB6}"/>
</file>

<file path=customXml/itemProps2.xml><?xml version="1.0" encoding="utf-8"?>
<ds:datastoreItem xmlns:ds="http://schemas.openxmlformats.org/officeDocument/2006/customXml" ds:itemID="{8DFF4260-3E2D-4A01-A86F-940D75A83FF1}"/>
</file>

<file path=customXml/itemProps3.xml><?xml version="1.0" encoding="utf-8"?>
<ds:datastoreItem xmlns:ds="http://schemas.openxmlformats.org/officeDocument/2006/customXml" ds:itemID="{25E4F36A-CCBB-41E2-BC05-B3E15DFF40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Area calculations</vt:lpstr>
      <vt:lpstr>Costings - delivery data</vt:lpstr>
      <vt:lpstr>Costings - Gov numbers</vt:lpstr>
      <vt:lpstr>Priority habitats outside SSSIs</vt:lpstr>
      <vt:lpstr>AES for Habitat target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Winney</dc:creator>
  <cp:lastModifiedBy>Bruce Winney</cp:lastModifiedBy>
  <dcterms:created xsi:type="dcterms:W3CDTF">2024-10-16T10:24:49Z</dcterms:created>
  <dcterms:modified xsi:type="dcterms:W3CDTF">2026-05-15T14:27:57Z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0x0101005CA5C8CA3D0C7C4B9AE51A6A78153004</vt:lpwstr>
  </property>
</Properties>
</file>