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aonb-my.sharepoint.com/personal/bruce_winney_national-landscapes_org_uk/Documents/NAAONB/30by30/"/>
    </mc:Choice>
  </mc:AlternateContent>
  <xr:revisionPtr revIDLastSave="46" documentId="8_{F0DABA6A-BD51-4705-8118-C7CA5E53B52B}" xr6:coauthVersionLast="47" xr6:coauthVersionMax="47" xr10:uidLastSave="{F136806B-85D9-4122-9A24-2B58666201E4}"/>
  <bookViews>
    <workbookView xWindow="390" yWindow="390" windowWidth="27000" windowHeight="14115" xr2:uid="{9AF05F12-D067-4B7C-9641-DC4B9AE4A654}"/>
  </bookViews>
  <sheets>
    <sheet name="Area calculations" sheetId="1" r:id="rId1"/>
    <sheet name="Costings - delivery data" sheetId="6" r:id="rId2"/>
    <sheet name="Costings - Gov numbers" sheetId="4" r:id="rId3"/>
    <sheet name="Costings - Green FI Nos." sheetId="7" r:id="rId4"/>
    <sheet name="Priority habitats outside SSSIs" sheetId="2" r:id="rId5"/>
    <sheet name="AES for Habitat target" sheetId="5" r:id="rId6"/>
  </sheets>
  <definedNames>
    <definedName name="_xlnm._FilterDatabase" localSheetId="4" hidden="1">'Priority habitats outside SSSIs'!$B$2:$P$64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25" i="1"/>
  <c r="C27" i="1" l="1"/>
  <c r="F15" i="5"/>
  <c r="F12" i="5"/>
  <c r="F3" i="5"/>
  <c r="F7" i="5"/>
  <c r="C6" i="1"/>
  <c r="K14" i="1" s="1"/>
  <c r="F13" i="1"/>
  <c r="K33" i="1"/>
  <c r="D14" i="6" l="1"/>
  <c r="D22" i="6"/>
  <c r="C10" i="1" l="1"/>
  <c r="C11" i="1" s="1"/>
  <c r="L7" i="6" l="1"/>
  <c r="M7" i="6"/>
  <c r="J7" i="4"/>
  <c r="K7" i="4"/>
  <c r="L7" i="4"/>
  <c r="N7" i="6"/>
  <c r="N7" i="4"/>
  <c r="M7" i="4"/>
  <c r="I7" i="4"/>
  <c r="I7" i="6"/>
  <c r="J7" i="6"/>
  <c r="K7" i="6"/>
  <c r="C4" i="1"/>
  <c r="I3" i="1" l="1"/>
  <c r="H3" i="1"/>
  <c r="C25" i="1" s="1"/>
  <c r="F5" i="1" s="1"/>
  <c r="F6" i="1" s="1"/>
  <c r="G3" i="1"/>
  <c r="F3" i="1"/>
  <c r="J3" i="1"/>
  <c r="K3" i="1"/>
  <c r="F16" i="1"/>
  <c r="I5" i="4"/>
  <c r="G13" i="1"/>
  <c r="H13" i="1"/>
  <c r="I13" i="1"/>
  <c r="J13" i="1"/>
  <c r="K13" i="1"/>
  <c r="F17" i="1" l="1"/>
  <c r="I4" i="6" s="1"/>
  <c r="H14" i="1"/>
  <c r="F14" i="1"/>
  <c r="G14" i="1"/>
  <c r="K16" i="1"/>
  <c r="K17" i="1" s="1"/>
  <c r="J14" i="1"/>
  <c r="I14" i="1"/>
  <c r="I3" i="6" l="1"/>
  <c r="I3" i="4"/>
  <c r="I6" i="4" l="1"/>
  <c r="G18" i="1"/>
  <c r="I4" i="4"/>
  <c r="F25" i="1"/>
  <c r="F18" i="1"/>
  <c r="I22" i="6" l="1"/>
  <c r="D8" i="6" l="1"/>
  <c r="I6" i="6"/>
  <c r="I5" i="6" l="1"/>
  <c r="J6" i="6"/>
  <c r="K6" i="6"/>
  <c r="L6" i="6"/>
  <c r="M6" i="6"/>
  <c r="N6" i="6"/>
  <c r="N5" i="6" l="1"/>
  <c r="M5" i="6"/>
  <c r="L5" i="6"/>
  <c r="K5" i="6"/>
  <c r="J5" i="6"/>
  <c r="L6" i="7"/>
  <c r="K6" i="7"/>
  <c r="J6" i="7"/>
  <c r="I6" i="7"/>
  <c r="N5" i="7"/>
  <c r="J21" i="7"/>
  <c r="K21" i="7"/>
  <c r="L21" i="7"/>
  <c r="M21" i="7"/>
  <c r="N21" i="7"/>
  <c r="I21" i="7"/>
  <c r="D15" i="7"/>
  <c r="D14" i="7"/>
  <c r="D13" i="7"/>
  <c r="D12" i="7"/>
  <c r="D11" i="7"/>
  <c r="D10" i="7"/>
  <c r="D9" i="7"/>
  <c r="D8" i="7"/>
  <c r="M6" i="7" s="1"/>
  <c r="D5" i="7"/>
  <c r="D4" i="7"/>
  <c r="D3" i="7"/>
  <c r="M5" i="7" s="1"/>
  <c r="J6" i="4"/>
  <c r="K6" i="4"/>
  <c r="L6" i="4"/>
  <c r="M6" i="4"/>
  <c r="N6" i="4"/>
  <c r="N6" i="7" l="1"/>
  <c r="I5" i="7"/>
  <c r="J5" i="7"/>
  <c r="L5" i="7"/>
  <c r="K5" i="7"/>
  <c r="D9" i="4"/>
  <c r="F20" i="5"/>
  <c r="D15" i="4" s="1"/>
  <c r="D13" i="4"/>
  <c r="D17" i="4"/>
  <c r="I22" i="4" s="1"/>
  <c r="D11" i="4"/>
  <c r="D7" i="4"/>
  <c r="D7" i="6" s="1"/>
  <c r="D6" i="4" l="1"/>
  <c r="D6" i="7" l="1"/>
  <c r="D6" i="6"/>
  <c r="J5" i="4"/>
  <c r="K5" i="4"/>
  <c r="L5" i="4"/>
  <c r="M5" i="4"/>
  <c r="N5" i="4"/>
  <c r="G25" i="1"/>
  <c r="J22" i="6" s="1"/>
  <c r="H25" i="1"/>
  <c r="K22" i="6" s="1"/>
  <c r="I25" i="1"/>
  <c r="L22" i="6" s="1"/>
  <c r="J25" i="1"/>
  <c r="M22" i="6" s="1"/>
  <c r="N22" i="6"/>
  <c r="P8" i="2"/>
  <c r="P4" i="2"/>
  <c r="N22" i="7" l="1"/>
  <c r="N23" i="4"/>
  <c r="N22" i="4"/>
  <c r="M22" i="7"/>
  <c r="M23" i="4"/>
  <c r="M22" i="4"/>
  <c r="L22" i="7"/>
  <c r="L23" i="4"/>
  <c r="L22" i="4"/>
  <c r="K23" i="4"/>
  <c r="K22" i="7"/>
  <c r="K22" i="4"/>
  <c r="J23" i="4"/>
  <c r="J22" i="7"/>
  <c r="J22" i="4"/>
  <c r="I23" i="4"/>
  <c r="I22" i="7"/>
  <c r="F19" i="1" l="1"/>
  <c r="F30" i="1" l="1"/>
  <c r="I31" i="6" s="1"/>
  <c r="G19" i="1"/>
  <c r="H18" i="1"/>
  <c r="I18" i="1"/>
  <c r="J18" i="1"/>
  <c r="K18" i="1"/>
  <c r="J16" i="1"/>
  <c r="I16" i="1"/>
  <c r="H16" i="1"/>
  <c r="G16" i="1"/>
  <c r="I28" i="7" l="1"/>
  <c r="I29" i="7"/>
  <c r="I30" i="7"/>
  <c r="I19" i="1"/>
  <c r="I30" i="1" s="1"/>
  <c r="L30" i="6" s="1"/>
  <c r="G30" i="1"/>
  <c r="I30" i="6"/>
  <c r="I31" i="4"/>
  <c r="I30" i="4"/>
  <c r="I29" i="6"/>
  <c r="I29" i="4"/>
  <c r="G17" i="1"/>
  <c r="I17" i="1"/>
  <c r="L3" i="7"/>
  <c r="L3" i="6"/>
  <c r="L3" i="4"/>
  <c r="M3" i="7"/>
  <c r="M3" i="6"/>
  <c r="M3" i="4"/>
  <c r="N3" i="6"/>
  <c r="N3" i="7"/>
  <c r="N3" i="4"/>
  <c r="J3" i="6"/>
  <c r="J3" i="7"/>
  <c r="J3" i="4"/>
  <c r="I3" i="7"/>
  <c r="H17" i="1"/>
  <c r="K3" i="7"/>
  <c r="K3" i="6"/>
  <c r="K3" i="4"/>
  <c r="J17" i="1"/>
  <c r="J19" i="1"/>
  <c r="J30" i="1" s="1"/>
  <c r="H19" i="1"/>
  <c r="H30" i="1" s="1"/>
  <c r="K19" i="1"/>
  <c r="K30" i="1" s="1"/>
  <c r="G29" i="1"/>
  <c r="H29" i="1"/>
  <c r="I29" i="1"/>
  <c r="J29" i="1"/>
  <c r="K29" i="1"/>
  <c r="F29" i="1"/>
  <c r="K5" i="1"/>
  <c r="K9" i="1" s="1"/>
  <c r="K6" i="1" l="1"/>
  <c r="K12" i="1" s="1"/>
  <c r="L25" i="7"/>
  <c r="L27" i="7"/>
  <c r="L28" i="6"/>
  <c r="L27" i="6"/>
  <c r="L26" i="7"/>
  <c r="K25" i="7"/>
  <c r="K27" i="6"/>
  <c r="K27" i="7"/>
  <c r="K28" i="6"/>
  <c r="K26" i="7"/>
  <c r="J25" i="7"/>
  <c r="J26" i="7"/>
  <c r="J27" i="6"/>
  <c r="J28" i="6"/>
  <c r="J27" i="7"/>
  <c r="J29" i="7"/>
  <c r="J28" i="7"/>
  <c r="I27" i="7"/>
  <c r="I28" i="6"/>
  <c r="I27" i="6"/>
  <c r="I26" i="7"/>
  <c r="N25" i="7"/>
  <c r="N27" i="7"/>
  <c r="N28" i="6"/>
  <c r="N27" i="6"/>
  <c r="N26" i="7"/>
  <c r="M25" i="7"/>
  <c r="M27" i="6"/>
  <c r="M27" i="7"/>
  <c r="M28" i="6"/>
  <c r="M26" i="7"/>
  <c r="L27" i="4"/>
  <c r="L28" i="4"/>
  <c r="M27" i="4"/>
  <c r="M28" i="4"/>
  <c r="K28" i="4"/>
  <c r="K27" i="4"/>
  <c r="J27" i="4"/>
  <c r="J28" i="4"/>
  <c r="I27" i="4"/>
  <c r="I28" i="4"/>
  <c r="N28" i="4"/>
  <c r="N27" i="4"/>
  <c r="L29" i="4"/>
  <c r="L30" i="4"/>
  <c r="L31" i="4"/>
  <c r="J29" i="4"/>
  <c r="J30" i="4"/>
  <c r="L29" i="7"/>
  <c r="J31" i="4"/>
  <c r="L31" i="6"/>
  <c r="L30" i="7"/>
  <c r="L28" i="7"/>
  <c r="N29" i="6"/>
  <c r="J31" i="6"/>
  <c r="J29" i="6"/>
  <c r="K29" i="6"/>
  <c r="M29" i="6"/>
  <c r="J30" i="7"/>
  <c r="L29" i="6"/>
  <c r="I26" i="4"/>
  <c r="I26" i="6"/>
  <c r="J30" i="6"/>
  <c r="N26" i="6"/>
  <c r="N26" i="4"/>
  <c r="J4" i="6"/>
  <c r="J4" i="7"/>
  <c r="J4" i="4"/>
  <c r="M26" i="6"/>
  <c r="M26" i="4"/>
  <c r="L26" i="6"/>
  <c r="L26" i="4"/>
  <c r="N4" i="6"/>
  <c r="N4" i="7"/>
  <c r="N4" i="4"/>
  <c r="K26" i="6"/>
  <c r="K26" i="4"/>
  <c r="K4" i="6"/>
  <c r="K4" i="7"/>
  <c r="K4" i="4"/>
  <c r="J26" i="6"/>
  <c r="J26" i="4"/>
  <c r="N30" i="6"/>
  <c r="N29" i="7"/>
  <c r="N30" i="7"/>
  <c r="N28" i="7"/>
  <c r="N31" i="6"/>
  <c r="N31" i="4"/>
  <c r="N30" i="4"/>
  <c r="N29" i="4"/>
  <c r="K31" i="6"/>
  <c r="K29" i="7"/>
  <c r="K28" i="7"/>
  <c r="K30" i="6"/>
  <c r="K30" i="7"/>
  <c r="K31" i="4"/>
  <c r="K30" i="4"/>
  <c r="K29" i="4"/>
  <c r="M29" i="7"/>
  <c r="M30" i="6"/>
  <c r="M30" i="7"/>
  <c r="M28" i="7"/>
  <c r="M31" i="6"/>
  <c r="M31" i="4"/>
  <c r="M30" i="4"/>
  <c r="M29" i="4"/>
  <c r="I4" i="7"/>
  <c r="M4" i="6"/>
  <c r="M4" i="7"/>
  <c r="M4" i="4"/>
  <c r="I25" i="7"/>
  <c r="L4" i="6"/>
  <c r="L4" i="7"/>
  <c r="L4" i="4"/>
  <c r="G5" i="1" l="1"/>
  <c r="J5" i="1"/>
  <c r="H5" i="1"/>
  <c r="I5" i="1"/>
  <c r="I8" i="6" l="1"/>
  <c r="N8" i="4"/>
  <c r="N8" i="6"/>
  <c r="N7" i="7"/>
  <c r="K8" i="6"/>
  <c r="K7" i="7"/>
  <c r="K8" i="4"/>
  <c r="M8" i="4"/>
  <c r="M8" i="6"/>
  <c r="M7" i="7"/>
  <c r="J8" i="6"/>
  <c r="J7" i="7"/>
  <c r="J8" i="4"/>
  <c r="I8" i="4"/>
  <c r="I7" i="7"/>
  <c r="L8" i="4"/>
  <c r="L8" i="6"/>
  <c r="L7" i="7"/>
  <c r="F9" i="1"/>
  <c r="I9" i="1"/>
  <c r="I6" i="1"/>
  <c r="J6" i="1"/>
  <c r="J9" i="1"/>
  <c r="H6" i="1"/>
  <c r="H9" i="1"/>
  <c r="G6" i="1"/>
  <c r="G9" i="1"/>
  <c r="F12" i="1" l="1"/>
  <c r="G12" i="1"/>
  <c r="H12" i="1"/>
  <c r="J12" i="1"/>
  <c r="I12" i="1"/>
  <c r="J20" i="1" l="1"/>
  <c r="M9" i="6" s="1"/>
  <c r="F20" i="1"/>
  <c r="K20" i="1"/>
  <c r="N9" i="6" s="1"/>
  <c r="G20" i="1"/>
  <c r="J9" i="6" s="1"/>
  <c r="I20" i="1"/>
  <c r="H20" i="1"/>
  <c r="K9" i="6" s="1"/>
  <c r="I28" i="1"/>
  <c r="I27" i="1" s="1"/>
  <c r="N9" i="4" l="1"/>
  <c r="N24" i="4" s="1"/>
  <c r="K22" i="1"/>
  <c r="K28" i="1"/>
  <c r="K27" i="1" s="1"/>
  <c r="I9" i="6"/>
  <c r="I9" i="4"/>
  <c r="I31" i="1"/>
  <c r="F24" i="1"/>
  <c r="F23" i="1"/>
  <c r="I8" i="7"/>
  <c r="I24" i="1"/>
  <c r="L9" i="6"/>
  <c r="F22" i="1"/>
  <c r="F28" i="1"/>
  <c r="F31" i="1" s="1"/>
  <c r="F32" i="1" s="1"/>
  <c r="M8" i="7"/>
  <c r="M23" i="7" s="1"/>
  <c r="F21" i="1"/>
  <c r="M9" i="4"/>
  <c r="I22" i="1"/>
  <c r="M24" i="6"/>
  <c r="J9" i="4"/>
  <c r="J8" i="7"/>
  <c r="J23" i="7" s="1"/>
  <c r="H24" i="1"/>
  <c r="K8" i="7"/>
  <c r="K23" i="7" s="1"/>
  <c r="K9" i="4"/>
  <c r="I23" i="1"/>
  <c r="L8" i="7"/>
  <c r="L23" i="7" s="1"/>
  <c r="L9" i="4"/>
  <c r="I21" i="1"/>
  <c r="G23" i="1"/>
  <c r="G22" i="1"/>
  <c r="H22" i="1"/>
  <c r="H28" i="1"/>
  <c r="H27" i="1" s="1"/>
  <c r="H23" i="1"/>
  <c r="K24" i="1"/>
  <c r="N8" i="7"/>
  <c r="N23" i="7" s="1"/>
  <c r="G21" i="1"/>
  <c r="H21" i="1"/>
  <c r="G28" i="1"/>
  <c r="G27" i="1" s="1"/>
  <c r="K23" i="1"/>
  <c r="G24" i="1"/>
  <c r="K21" i="1"/>
  <c r="I32" i="1"/>
  <c r="J23" i="1"/>
  <c r="J21" i="1"/>
  <c r="J24" i="1"/>
  <c r="J22" i="1"/>
  <c r="J28" i="1"/>
  <c r="J27" i="1" s="1"/>
  <c r="K31" i="1" l="1"/>
  <c r="K34" i="1" s="1"/>
  <c r="F33" i="1"/>
  <c r="I31" i="7" s="1"/>
  <c r="I24" i="4"/>
  <c r="F36" i="1"/>
  <c r="I42" i="6" s="1"/>
  <c r="F34" i="1"/>
  <c r="I35" i="4" s="1"/>
  <c r="M24" i="4"/>
  <c r="F35" i="1"/>
  <c r="I40" i="6" s="1"/>
  <c r="G31" i="1"/>
  <c r="J31" i="1"/>
  <c r="J35" i="1" s="1"/>
  <c r="M40" i="6" s="1"/>
  <c r="H31" i="1"/>
  <c r="H34" i="1" s="1"/>
  <c r="J24" i="4"/>
  <c r="I35" i="1"/>
  <c r="L40" i="6" s="1"/>
  <c r="I33" i="1"/>
  <c r="K24" i="4"/>
  <c r="N24" i="6"/>
  <c r="L24" i="6"/>
  <c r="K24" i="6"/>
  <c r="J24" i="6"/>
  <c r="L24" i="4"/>
  <c r="I34" i="1"/>
  <c r="I33" i="6"/>
  <c r="I36" i="1"/>
  <c r="L40" i="7"/>
  <c r="N34" i="6"/>
  <c r="M34" i="6"/>
  <c r="I32" i="4"/>
  <c r="I33" i="4"/>
  <c r="I34" i="6" l="1"/>
  <c r="K36" i="1"/>
  <c r="N42" i="7" s="1"/>
  <c r="I42" i="7"/>
  <c r="K35" i="1"/>
  <c r="N37" i="7" s="1"/>
  <c r="I40" i="7"/>
  <c r="K32" i="1"/>
  <c r="I43" i="4"/>
  <c r="I41" i="4"/>
  <c r="I43" i="6"/>
  <c r="I41" i="6"/>
  <c r="I41" i="7"/>
  <c r="I32" i="7"/>
  <c r="I34" i="4"/>
  <c r="I32" i="6"/>
  <c r="I33" i="7"/>
  <c r="I36" i="4"/>
  <c r="H35" i="1"/>
  <c r="K40" i="4" s="1"/>
  <c r="I34" i="7"/>
  <c r="I42" i="4"/>
  <c r="I37" i="4"/>
  <c r="I39" i="7"/>
  <c r="I38" i="6"/>
  <c r="I38" i="7"/>
  <c r="G35" i="1"/>
  <c r="J40" i="6" s="1"/>
  <c r="I39" i="6"/>
  <c r="I40" i="4"/>
  <c r="I38" i="4"/>
  <c r="I35" i="7"/>
  <c r="I35" i="6"/>
  <c r="L35" i="4"/>
  <c r="G33" i="1"/>
  <c r="J33" i="4" s="1"/>
  <c r="G34" i="1"/>
  <c r="J36" i="7" s="1"/>
  <c r="I36" i="7"/>
  <c r="G36" i="1"/>
  <c r="J42" i="7" s="1"/>
  <c r="I37" i="7"/>
  <c r="I39" i="4"/>
  <c r="J36" i="1"/>
  <c r="M43" i="6" s="1"/>
  <c r="I36" i="6"/>
  <c r="J32" i="1"/>
  <c r="J34" i="1"/>
  <c r="M35" i="6" s="1"/>
  <c r="H32" i="1"/>
  <c r="H36" i="1"/>
  <c r="K42" i="4" s="1"/>
  <c r="H33" i="1"/>
  <c r="K34" i="6" s="1"/>
  <c r="L38" i="6"/>
  <c r="G32" i="1"/>
  <c r="L39" i="6"/>
  <c r="L33" i="7"/>
  <c r="L34" i="4"/>
  <c r="L38" i="4"/>
  <c r="L37" i="7"/>
  <c r="L33" i="4"/>
  <c r="L39" i="4"/>
  <c r="L40" i="4"/>
  <c r="L38" i="7"/>
  <c r="L39" i="7"/>
  <c r="J32" i="7"/>
  <c r="L36" i="7"/>
  <c r="L34" i="7"/>
  <c r="L35" i="7"/>
  <c r="L36" i="6"/>
  <c r="K39" i="6"/>
  <c r="L37" i="4"/>
  <c r="L43" i="6"/>
  <c r="L36" i="4"/>
  <c r="L41" i="6"/>
  <c r="K38" i="4"/>
  <c r="L41" i="7"/>
  <c r="L41" i="4"/>
  <c r="L32" i="6"/>
  <c r="L33" i="6"/>
  <c r="L34" i="6"/>
  <c r="N35" i="4"/>
  <c r="N35" i="6"/>
  <c r="L43" i="4"/>
  <c r="L32" i="4"/>
  <c r="L31" i="7"/>
  <c r="L42" i="7"/>
  <c r="K35" i="6"/>
  <c r="L32" i="7"/>
  <c r="L42" i="4"/>
  <c r="L42" i="6"/>
  <c r="L35" i="6"/>
  <c r="N33" i="4"/>
  <c r="K37" i="7"/>
  <c r="N43" i="6"/>
  <c r="N40" i="6"/>
  <c r="N32" i="4"/>
  <c r="N41" i="4"/>
  <c r="N36" i="7"/>
  <c r="N41" i="7"/>
  <c r="N36" i="4"/>
  <c r="N32" i="7"/>
  <c r="N31" i="7"/>
  <c r="N35" i="7"/>
  <c r="N33" i="6"/>
  <c r="N33" i="7"/>
  <c r="N37" i="4"/>
  <c r="N36" i="6"/>
  <c r="N34" i="4"/>
  <c r="J35" i="7"/>
  <c r="K36" i="7"/>
  <c r="N38" i="7"/>
  <c r="K34" i="7"/>
  <c r="K36" i="4"/>
  <c r="K35" i="4"/>
  <c r="K37" i="4"/>
  <c r="K36" i="6"/>
  <c r="N34" i="7"/>
  <c r="K35" i="7"/>
  <c r="N39" i="7"/>
  <c r="N32" i="6"/>
  <c r="M33" i="6"/>
  <c r="M34" i="4"/>
  <c r="M33" i="7"/>
  <c r="M32" i="6"/>
  <c r="M31" i="7"/>
  <c r="M33" i="4"/>
  <c r="M32" i="4"/>
  <c r="M32" i="7"/>
  <c r="M38" i="7"/>
  <c r="M39" i="6"/>
  <c r="M38" i="4"/>
  <c r="M37" i="7"/>
  <c r="M40" i="4"/>
  <c r="M38" i="6"/>
  <c r="M39" i="4"/>
  <c r="M39" i="7"/>
  <c r="I24" i="6"/>
  <c r="I23" i="7"/>
  <c r="N38" i="6" l="1"/>
  <c r="N44" i="6" s="1"/>
  <c r="N39" i="4"/>
  <c r="N40" i="4"/>
  <c r="N38" i="4"/>
  <c r="N39" i="6"/>
  <c r="N42" i="4"/>
  <c r="I44" i="6"/>
  <c r="I46" i="6" s="1"/>
  <c r="N42" i="6"/>
  <c r="N43" i="4"/>
  <c r="J39" i="6"/>
  <c r="N40" i="7"/>
  <c r="N43" i="7" s="1"/>
  <c r="N41" i="6"/>
  <c r="J34" i="6"/>
  <c r="J43" i="6"/>
  <c r="J42" i="6"/>
  <c r="K38" i="6"/>
  <c r="K39" i="4"/>
  <c r="K40" i="6"/>
  <c r="J39" i="4"/>
  <c r="K39" i="7"/>
  <c r="J37" i="7"/>
  <c r="J42" i="4"/>
  <c r="J38" i="7"/>
  <c r="J40" i="4"/>
  <c r="K38" i="7"/>
  <c r="J38" i="6"/>
  <c r="J41" i="6"/>
  <c r="J43" i="4"/>
  <c r="J39" i="7"/>
  <c r="J40" i="7"/>
  <c r="J38" i="4"/>
  <c r="J31" i="7"/>
  <c r="M41" i="7"/>
  <c r="J41" i="4"/>
  <c r="I43" i="7"/>
  <c r="J34" i="7"/>
  <c r="J35" i="4"/>
  <c r="M41" i="4"/>
  <c r="J35" i="6"/>
  <c r="M43" i="4"/>
  <c r="J37" i="4"/>
  <c r="J34" i="4"/>
  <c r="K42" i="7"/>
  <c r="M36" i="7"/>
  <c r="J36" i="6"/>
  <c r="J33" i="7"/>
  <c r="J33" i="6"/>
  <c r="M42" i="7"/>
  <c r="J32" i="6"/>
  <c r="J36" i="4"/>
  <c r="M42" i="6"/>
  <c r="M40" i="7"/>
  <c r="J32" i="4"/>
  <c r="M41" i="6"/>
  <c r="M42" i="4"/>
  <c r="K32" i="6"/>
  <c r="J41" i="7"/>
  <c r="M36" i="4"/>
  <c r="I44" i="4"/>
  <c r="I46" i="4" s="1"/>
  <c r="K32" i="4"/>
  <c r="K41" i="6"/>
  <c r="K42" i="6"/>
  <c r="K43" i="6"/>
  <c r="K41" i="4"/>
  <c r="K34" i="4"/>
  <c r="K33" i="7"/>
  <c r="M35" i="7"/>
  <c r="K31" i="7"/>
  <c r="K33" i="6"/>
  <c r="K43" i="4"/>
  <c r="M35" i="4"/>
  <c r="K32" i="7"/>
  <c r="M36" i="6"/>
  <c r="K41" i="7"/>
  <c r="K33" i="4"/>
  <c r="M37" i="4"/>
  <c r="K40" i="7"/>
  <c r="M34" i="7"/>
  <c r="L43" i="7"/>
  <c r="L45" i="7" s="1"/>
  <c r="L44" i="6"/>
  <c r="L46" i="6" s="1"/>
  <c r="L44" i="4"/>
  <c r="L46" i="4" s="1"/>
  <c r="N44" i="4"/>
  <c r="I45" i="7"/>
  <c r="K44" i="4" l="1"/>
  <c r="K46" i="4" s="1"/>
  <c r="J44" i="6"/>
  <c r="J46" i="6" s="1"/>
  <c r="M44" i="4"/>
  <c r="M46" i="4" s="1"/>
  <c r="J44" i="4"/>
  <c r="J46" i="4" s="1"/>
  <c r="J43" i="7"/>
  <c r="J45" i="7" s="1"/>
  <c r="M44" i="6"/>
  <c r="M46" i="6" s="1"/>
  <c r="K44" i="6"/>
  <c r="K46" i="6" s="1"/>
  <c r="K43" i="7"/>
  <c r="K45" i="7" s="1"/>
  <c r="M43" i="7"/>
  <c r="M45" i="7" s="1"/>
  <c r="N46" i="6"/>
  <c r="N46" i="4"/>
  <c r="N4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Winney</author>
  </authors>
  <commentList>
    <comment ref="C4" authorId="0" shapeId="0" xr:uid="{A12F70FF-79F3-41A6-AAD9-CA6D88688EE0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784.20 overlap
Includes whole of Wye Valley</t>
        </r>
      </text>
    </comment>
    <comment ref="C8" authorId="0" shapeId="0" xr:uid="{1E81EEF0-141C-43E9-9D3F-BF377FCB4C59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Assume 70% deciduous so count towards Tgt 1</t>
        </r>
      </text>
    </comment>
    <comment ref="C10" authorId="0" shapeId="0" xr:uid="{72146DC5-AAB0-41F8-B762-CE9368EE7B41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Ha of SSSI with condition assessed BEFORE 1/1/2020</t>
        </r>
      </text>
    </comment>
    <comment ref="E15" authorId="0" shapeId="0" xr:uid="{CC80E2D4-49B7-4629-AF5D-A50009DBA084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From Leo's 30by30 numbers</t>
        </r>
      </text>
    </comment>
    <comment ref="E16" authorId="0" shapeId="0" xr:uid="{24394BDE-0952-47E2-9412-680832498A2B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Assume same ratio for Deciduous as that for all woodland</t>
        </r>
      </text>
    </comment>
    <comment ref="B17" authorId="0" shapeId="0" xr:uid="{65FF1FA8-ADE4-49AE-97B4-A00326977C93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Counts the whole SSSI if some management</t>
        </r>
      </text>
    </comment>
    <comment ref="E18" authorId="0" shapeId="0" xr:uid="{45A23A6F-E7F0-4FD2-8ECF-A541BAF087E1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Make this separate to SSSI tgt 2 to ensure non-peat SSSIs are also brought into management</t>
        </r>
      </text>
    </comment>
    <comment ref="B25" authorId="0" shapeId="0" xr:uid="{C4D836F7-EF52-4207-883A-3528DDF56B33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Not all EAS schemes will be appropriate and in reality, not all that is managed for nature will meet the 30by30 criteria</t>
        </r>
      </text>
    </comment>
    <comment ref="B27" authorId="0" shapeId="0" xr:uid="{37841EC8-21DB-40CF-A819-417320AAF1D5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Not all management will be appropriate!</t>
        </r>
      </text>
    </comment>
    <comment ref="J33" authorId="0" shapeId="0" xr:uid="{99FF86EF-6472-4735-94EE-549D2475521E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Thre is limited potential</t>
        </r>
      </text>
    </comment>
    <comment ref="K33" authorId="0" shapeId="0" xr:uid="{390FE680-6B85-4A47-9083-8A23C78EEB72}">
      <text>
        <r>
          <rPr>
            <b/>
            <sz val="9"/>
            <color indexed="81"/>
            <rFont val="Tahoma"/>
            <family val="2"/>
          </rPr>
          <t>Bruce Winney:</t>
        </r>
        <r>
          <rPr>
            <sz val="9"/>
            <color indexed="81"/>
            <rFont val="Tahoma"/>
            <family val="2"/>
          </rPr>
          <t xml:space="preserve">
Thre is limited potential</t>
        </r>
      </text>
    </comment>
  </commentList>
</comments>
</file>

<file path=xl/sharedStrings.xml><?xml version="1.0" encoding="utf-8"?>
<sst xmlns="http://schemas.openxmlformats.org/spreadsheetml/2006/main" count="601" uniqueCount="264">
  <si>
    <t>Protected Landscapes</t>
  </si>
  <si>
    <t>Ha</t>
  </si>
  <si>
    <t>England</t>
  </si>
  <si>
    <t>Assume 60% conversion of opprotunities into reality</t>
  </si>
  <si>
    <t>Percentage</t>
  </si>
  <si>
    <t>Potential managed for Nature</t>
  </si>
  <si>
    <t>Habitat creation</t>
  </si>
  <si>
    <t>PLTOF Tgt 1</t>
  </si>
  <si>
    <t>PLTOF Tgt 7</t>
  </si>
  <si>
    <t>PLTOF Tgt 8</t>
  </si>
  <si>
    <t>Notes</t>
  </si>
  <si>
    <t>Currently managed for Nature?</t>
  </si>
  <si>
    <t>Total required (Ha)</t>
  </si>
  <si>
    <t>Additional (ha)</t>
  </si>
  <si>
    <t>30by30 components required</t>
  </si>
  <si>
    <t>30by30 potential available</t>
  </si>
  <si>
    <t>Bring into management/restore</t>
  </si>
  <si>
    <t>Required (TARGET)</t>
  </si>
  <si>
    <t>Deep Peat inside SSSIs</t>
  </si>
  <si>
    <t>Deep Peat outside SSSIs</t>
  </si>
  <si>
    <t>Sum of Total area (ha)</t>
  </si>
  <si>
    <t>Calaminarian grassland</t>
  </si>
  <si>
    <t>Coastal and floodplain grazing marsh</t>
  </si>
  <si>
    <t>Coastal and floodplain grazing marsh,Coastal saltmarsh</t>
  </si>
  <si>
    <t>Coastal and floodplain grazing marsh,Lowland meadows</t>
  </si>
  <si>
    <t>Coastal and floodplain grazing marsh,Maritime cliff and slope</t>
  </si>
  <si>
    <t>Coastal saltmarsh</t>
  </si>
  <si>
    <t>Coastal saltmarsh,Saline lagoons</t>
  </si>
  <si>
    <t>Coastal sand dunes</t>
  </si>
  <si>
    <t>Coastal sand dunes,Coastal vegetated shingle</t>
  </si>
  <si>
    <t>Coastal sand dunes,Deciduous woodland</t>
  </si>
  <si>
    <t>Coastal sand dunes,Lowland calcareous grassland</t>
  </si>
  <si>
    <t>Coastal sand dunes,Lowland fens</t>
  </si>
  <si>
    <t>Coastal sand dunes,Lowland heathland</t>
  </si>
  <si>
    <t>Coastal sand dunes,Maritime cliff and slope</t>
  </si>
  <si>
    <t>Coastal sand dunes,Reedbeds</t>
  </si>
  <si>
    <t>Coastal vegetated shingle</t>
  </si>
  <si>
    <t>Coastal vegetated shingle,Lowland heathland</t>
  </si>
  <si>
    <t>Coastal vegetated shingle,Saline lagoons</t>
  </si>
  <si>
    <t>Deciduous woodland,Limestone pavement</t>
  </si>
  <si>
    <t>Deciduous woodland,Maritime cliff and slope</t>
  </si>
  <si>
    <t>Fragmented heath</t>
  </si>
  <si>
    <t>Good quality semi improved grassland</t>
  </si>
  <si>
    <t>Good quality semi improved grassland,Traditional orchard</t>
  </si>
  <si>
    <t>Grass moorland</t>
  </si>
  <si>
    <t>Lakes</t>
  </si>
  <si>
    <t>Lakes,Lowland fens</t>
  </si>
  <si>
    <t>Lakes,Lowland fens,Reedbeds</t>
  </si>
  <si>
    <t>Lakes,Reedbeds</t>
  </si>
  <si>
    <t>Limestone pavement</t>
  </si>
  <si>
    <t>Limestone pavement,Upland calcareous grassland</t>
  </si>
  <si>
    <t>Lowland calcareous grassland</t>
  </si>
  <si>
    <t>Lowland calcareous grassland,Limestone pavement</t>
  </si>
  <si>
    <t>Lowland calcareous grassland,Maritime cliff and slope</t>
  </si>
  <si>
    <t>Lowland dry acid grassland</t>
  </si>
  <si>
    <t>Lowland dry acid grassland,Limestone pavement</t>
  </si>
  <si>
    <t>Lowland dry acid grassland,Lowland heathland</t>
  </si>
  <si>
    <t>Lowland dry acid grassland,Maritime cliff and slope</t>
  </si>
  <si>
    <t>Lowland fens</t>
  </si>
  <si>
    <t>Lowland fens,Maritime cliff and slope</t>
  </si>
  <si>
    <t>Lowland fens,Reedbeds</t>
  </si>
  <si>
    <t>Lowland heathland</t>
  </si>
  <si>
    <t>Lowland heathland,Maritime cliff and slope</t>
  </si>
  <si>
    <t>Lowland meadows</t>
  </si>
  <si>
    <t>Lowland meadows,Maritime cliff and slope</t>
  </si>
  <si>
    <t>Maritime cliff and slope</t>
  </si>
  <si>
    <t>Maritime cliff and slope,Coastal saltmarsh</t>
  </si>
  <si>
    <t>Maritime cliff and slope,Purple moor grass and rush pastures</t>
  </si>
  <si>
    <t>Maritime cliff and slope,Reedbeds</t>
  </si>
  <si>
    <t>Mountain heaths and willow scrub</t>
  </si>
  <si>
    <t>Mudflats</t>
  </si>
  <si>
    <t>No main habitat but additional habitats present</t>
  </si>
  <si>
    <t>Ponds</t>
  </si>
  <si>
    <t>Ponds,Reedbeds</t>
  </si>
  <si>
    <t>Purple moor grass and rush pastures</t>
  </si>
  <si>
    <t>Reedbeds</t>
  </si>
  <si>
    <t>Reedbeds,Coastal saltmarsh</t>
  </si>
  <si>
    <t>Reedbeds,Upland flushes fens and swamps</t>
  </si>
  <si>
    <t>Saline lagoons</t>
  </si>
  <si>
    <t>Upland calcareous grassland</t>
  </si>
  <si>
    <t>Upland flushes fens and swamps</t>
  </si>
  <si>
    <t>Upland hay meadow</t>
  </si>
  <si>
    <t>Grand Total</t>
  </si>
  <si>
    <t>NLs</t>
  </si>
  <si>
    <t>NPs</t>
  </si>
  <si>
    <t>Non-wood/Peat PHI (outside SSSIs) - split by broad habitats</t>
  </si>
  <si>
    <t>Non-wood/peat PHI total</t>
  </si>
  <si>
    <t>Non-wood/peat PHI outside SSSIs</t>
  </si>
  <si>
    <t>Grass/heath</t>
  </si>
  <si>
    <t>Coastal</t>
  </si>
  <si>
    <t>Other</t>
  </si>
  <si>
    <t>Freshwater</t>
  </si>
  <si>
    <t>Broad habitat</t>
  </si>
  <si>
    <t>Additional PHI in 30by30</t>
  </si>
  <si>
    <t>Additional Water in 30by30</t>
  </si>
  <si>
    <t>Surface water</t>
  </si>
  <si>
    <t>Need to identify habitat creation opportunities</t>
  </si>
  <si>
    <t>Same PHI broad habitat ratio as above</t>
  </si>
  <si>
    <t>Costs to clean up water</t>
  </si>
  <si>
    <t>Assume 100% by Woodland grants + development costs +maintainance</t>
  </si>
  <si>
    <t>Assume 100% by ELM + development costs (create -&gt; maintain)</t>
  </si>
  <si>
    <t>£/ha y</t>
  </si>
  <si>
    <t>Peat</t>
  </si>
  <si>
    <t>Restore</t>
  </si>
  <si>
    <t>Wood</t>
  </si>
  <si>
    <t>Plant</t>
  </si>
  <si>
    <t>Maintain</t>
  </si>
  <si>
    <t>ELM</t>
  </si>
  <si>
    <t>Create</t>
  </si>
  <si>
    <t xml:space="preserve">Create/restore </t>
  </si>
  <si>
    <t>Development costs</t>
  </si>
  <si>
    <t>Project Development</t>
  </si>
  <si>
    <t>Bring into management/ restore</t>
  </si>
  <si>
    <t>Habitat  creation</t>
  </si>
  <si>
    <t>https://www.gov.uk/government/publications/woodland-grants-and-incentives-overview-table/woodland-grants-and-incentives-overview-table</t>
  </si>
  <si>
    <t>Numbers by 2030, assume a linear trajectory</t>
  </si>
  <si>
    <t>Bring into management</t>
  </si>
  <si>
    <t>https://assets.publishing.service.gov.uk/media/641c370732a8e0000cfa92a2/WMB_100ha_Financial_study_Mar_23.pdf</t>
  </si>
  <si>
    <t>https://sefari.scot/sites/default/files/documents/The%20costs%20of%20peatland%20restoration%20March%202021.pdf</t>
  </si>
  <si>
    <t>ELM (PHI)</t>
  </si>
  <si>
    <t>Maintain on PHI</t>
  </si>
  <si>
    <t>Based on CS 5 and 10 year in Deep Dive NLs (total ELM for NL, weighted for 1 year divided by area PHI under AES)</t>
  </si>
  <si>
    <t>Offer name</t>
  </si>
  <si>
    <t>Habitat type</t>
  </si>
  <si>
    <t>GS7: Restoration towards species-rich grassland</t>
  </si>
  <si>
    <t>Grasslands</t>
  </si>
  <si>
    <t>GS8: Creation of species-rich grassland</t>
  </si>
  <si>
    <t>WT9: Creation of fen</t>
  </si>
  <si>
    <t xml:space="preserve">Wetlands </t>
  </si>
  <si>
    <t>WT7: Creation of reedbed</t>
  </si>
  <si>
    <t>UP5: Moorland re-wetting supplement in conjunction with WN1: grip-blocking-drainage-channels-wn1 on peat</t>
  </si>
  <si>
    <t>LH3: Creation of heathland from arable or improved grassland</t>
  </si>
  <si>
    <t>Heathlands</t>
  </si>
  <si>
    <t>LH2: Restoration of forestry and woodland to lowland heathland</t>
  </si>
  <si>
    <t>AB8: Flower-rich margins and plots</t>
  </si>
  <si>
    <t>Arable field margins</t>
  </si>
  <si>
    <t>WD8: Creation of successional areas and scrub</t>
  </si>
  <si>
    <t>Wooded habitats</t>
  </si>
  <si>
    <t>WN5: Pond management (less than 100 square metres)</t>
  </si>
  <si>
    <t>WN6: Pond management (more than 100 square metres)</t>
  </si>
  <si>
    <t>WN7: Restoration of large water bodies</t>
  </si>
  <si>
    <t>WD6: Creation of lowland wood pasture - GOV.UK (www.gov.uk)</t>
  </si>
  <si>
    <t>WD12: Creation of upland wood pasture - GOV.UK (www.gov.uk)</t>
  </si>
  <si>
    <t>CT4: Creation of inter-tidal and saline habitat on arable land</t>
  </si>
  <si>
    <t>Saltmarsh and intertidal habitats</t>
  </si>
  <si>
    <t>CT5: Creation of inter-tidal and saline habitat by non-intervention</t>
  </si>
  <si>
    <t>CT7: Creation of inter-tidal and saline habitat on intensive grassland</t>
  </si>
  <si>
    <t>BN7: Hedgerow gapping-up</t>
  </si>
  <si>
    <t>CT2: Creation of coastal sand dunes and vegetated shingle on arable land and improved grassland</t>
  </si>
  <si>
    <t>Coastal habitats excluding intertidal and saltmarsh</t>
  </si>
  <si>
    <t>Broad Habitat</t>
  </si>
  <si>
    <t>Other/wood</t>
  </si>
  <si>
    <t>Payment</t>
  </si>
  <si>
    <t>Adjusted to 1ha</t>
  </si>
  <si>
    <t>Actual costs</t>
  </si>
  <si>
    <t>Use for cleaning up surface water</t>
  </si>
  <si>
    <t>Total</t>
  </si>
  <si>
    <t>FiPL</t>
  </si>
  <si>
    <t>Proxy development costs</t>
  </si>
  <si>
    <t>Use FiPL numbers as a proxy, constant effort</t>
  </si>
  <si>
    <t>Based on ELM numbers for maintenance</t>
  </si>
  <si>
    <t>https://hive.greenfinanceinstitute.com/wp-content/uploads/2021/10/Appendix2.pdf</t>
  </si>
  <si>
    <t>Restore and maintain</t>
  </si>
  <si>
    <t>Tables 16, 17: £193m, 9y, 97849ha</t>
  </si>
  <si>
    <t>Tables 9, 10: £845m, 9y, 86340ha</t>
  </si>
  <si>
    <t>Tables 9, 10: £42m, 9y, 86340ha</t>
  </si>
  <si>
    <t>Table 24: £105m/year, assume PLs is 25% water</t>
  </si>
  <si>
    <t>GFI numbers for habitat target</t>
  </si>
  <si>
    <t>Use FiPL as proxy</t>
  </si>
  <si>
    <t>Evenlode (7ha, 1km river NFM, £22k develop, £300k contract costs)</t>
  </si>
  <si>
    <t>Yarty (WEIF 1.5km, say 100m wide?, £146,441)</t>
  </si>
  <si>
    <t>Paul Leadbitter (£5-20k but had project lined up at £775/ha)</t>
  </si>
  <si>
    <t>Included in restoration figures</t>
  </si>
  <si>
    <t>Table 3: £1489m, 10y, assume 250000ha</t>
  </si>
  <si>
    <t>Table 3: £618m, 10y, assume 250000ha</t>
  </si>
  <si>
    <t>Based on ELM Habitat creation options</t>
  </si>
  <si>
    <t>Assume 60% conversion of opportunities into reality</t>
  </si>
  <si>
    <t>Non-wood/Peat PHI (outside SSSIs) In AES</t>
  </si>
  <si>
    <t>70% SSSIs</t>
  </si>
  <si>
    <t>Deciduous, Ancient Wood and Wood Pasture &amp; Parkland (outside SSSIs)</t>
  </si>
  <si>
    <t>SSSIs</t>
  </si>
  <si>
    <t>SSSIs in PLs</t>
  </si>
  <si>
    <t>Managed Woodland outside SSSIs (includes conifers)</t>
  </si>
  <si>
    <t>Managed Woodland (includes conifers)</t>
  </si>
  <si>
    <t>SSSIs F and UR with AES or Managed Woodland</t>
  </si>
  <si>
    <t>Deciduous, Ancient Woodand WP &amp; Parkland (currently managed)</t>
  </si>
  <si>
    <t>Deciduous, Ancient Wood and WP&amp;P (bring into management)</t>
  </si>
  <si>
    <t>PLTOF Tgt 2</t>
  </si>
  <si>
    <t>SSSIs - Tgt 2 (bring into management to become favourable)</t>
  </si>
  <si>
    <t>29% PHI</t>
  </si>
  <si>
    <t>64% Woodland</t>
  </si>
  <si>
    <t>Currently managed</t>
  </si>
  <si>
    <t>A</t>
  </si>
  <si>
    <t>B</t>
  </si>
  <si>
    <t>C</t>
  </si>
  <si>
    <t>0.38*A*PL area</t>
  </si>
  <si>
    <t>D</t>
  </si>
  <si>
    <t>E</t>
  </si>
  <si>
    <t>F</t>
  </si>
  <si>
    <t>N</t>
  </si>
  <si>
    <t>G</t>
  </si>
  <si>
    <t>0.6*(potential - B)</t>
  </si>
  <si>
    <t>H</t>
  </si>
  <si>
    <t>I</t>
  </si>
  <si>
    <t>J</t>
  </si>
  <si>
    <t>K</t>
  </si>
  <si>
    <t>L</t>
  </si>
  <si>
    <t>M</t>
  </si>
  <si>
    <t>O</t>
  </si>
  <si>
    <t>0.64*G</t>
  </si>
  <si>
    <t>0.6*(G-H)</t>
  </si>
  <si>
    <t>130,000-J</t>
  </si>
  <si>
    <t>IF(F+I+J+K+M)&lt;E, =F-(I+J+K+L+M), ELSE=0</t>
  </si>
  <si>
    <t>D+E+F+I+J+K+L+M</t>
  </si>
  <si>
    <t>P</t>
  </si>
  <si>
    <t>Q</t>
  </si>
  <si>
    <t>PLTOF Tgt 8 (assume 70% deciduous)</t>
  </si>
  <si>
    <t>Assume broad habitat distribution outside SSSIs same as total habitat distribution</t>
  </si>
  <si>
    <t>Habitat to be created</t>
  </si>
  <si>
    <t>250,000-O-K</t>
  </si>
  <si>
    <t>IF(O+P)&gt;N, 0, ELSE=N-O-P</t>
  </si>
  <si>
    <t>Use FiPL numbers as a proxy, constant effort; assume 60% conversion of opportunities?</t>
  </si>
  <si>
    <t>Roger English (WEIF, £20k),Tamar Valley - Rob Price (informed estimates: £33k, £75k, 67k)</t>
  </si>
  <si>
    <t>Roger English (WEIF, £625?),Tamar Valley - Rob Price (informed estimates: £11k, £3.4k, 11k)</t>
  </si>
  <si>
    <t>Tamar Valley - Rob Price (informed estimates: £20k, £42k, 34k)</t>
  </si>
  <si>
    <t>Grassland</t>
  </si>
  <si>
    <t>Intertidal</t>
  </si>
  <si>
    <t>Survey SSSI Condition</t>
  </si>
  <si>
    <t>SSSIs in PLs with old condition assessment</t>
  </si>
  <si>
    <t>Simon - £350 grassland; Cath - £156 heath</t>
  </si>
  <si>
    <t>Simon (minus overheads)</t>
  </si>
  <si>
    <t>Simon (minus overheads - £760); Cath (£500 - heath but doesn't invole contractors)</t>
  </si>
  <si>
    <t>https://defrafarming.blog.gov.uk/2023/11/28/farming-in-protected-landscapes-interim-evaluation-findings/; £100m over 4 years, 3,176,412ha; assume effective cover 5%. Ointervention rate 50%</t>
  </si>
  <si>
    <r>
      <rPr>
        <b/>
        <sz val="11"/>
        <color theme="1"/>
        <rFont val="Effra"/>
        <family val="2"/>
      </rPr>
      <t>Chilterns - £160/m (for wider restoration, rewiggle, scrapes, wetlands, includes developmnt costs)</t>
    </r>
    <r>
      <rPr>
        <sz val="11"/>
        <color theme="1"/>
        <rFont val="Effra"/>
        <family val="2"/>
      </rPr>
      <t xml:space="preserve">, </t>
    </r>
    <r>
      <rPr>
        <i/>
        <sz val="11"/>
        <color theme="1"/>
        <rFont val="Effra"/>
        <family val="2"/>
      </rPr>
      <t>Tamar Valley</t>
    </r>
  </si>
  <si>
    <t>Coastal habitat network potential (NE)</t>
  </si>
  <si>
    <t>SSSI Condition</t>
  </si>
  <si>
    <t>Survey</t>
  </si>
  <si>
    <t>Assume takes first 2 years</t>
  </si>
  <si>
    <t>No SSSIs features in PLs with old condition assessment</t>
  </si>
  <si>
    <t>Chilterns - £160/m (for wider restoration, rewiggle, scrapes, wetlands, includes developmnt costs). £154/m from Herts Chalk Streams SSF.</t>
  </si>
  <si>
    <t>Estimated cost per feature (through NE) 2 days field work, 2 days desk-based (data and QA)</t>
  </si>
  <si>
    <t>Tgt 1 Habitat creation</t>
  </si>
  <si>
    <t>Tgt 8 Deciduous Wood</t>
  </si>
  <si>
    <t>Tgt 7 Deep Peat (restore inside SSSIs)</t>
  </si>
  <si>
    <t>Tgt 7 Deep Peat (restore outside SSSIs)</t>
  </si>
  <si>
    <t>FiPL engagement (7,000 farms)</t>
  </si>
  <si>
    <t>Average size 100ha</t>
  </si>
  <si>
    <t>https://defrafarming.blog.gov.uk/2023/11/28/farming-in-protected-landscapes-interim-evaluation-findings/; £100m over 4 years, 3,176,412ha; assume effective cover 5%. Intervention rate 50%</t>
  </si>
  <si>
    <t>40% outside SSSIs</t>
  </si>
  <si>
    <t xml:space="preserve">Average </t>
  </si>
  <si>
    <t>BN11: Planting new hedges</t>
  </si>
  <si>
    <t>WN1: https://www.gov.uk/countryside-stewardship-grants/grip-blocking-drainage-channels-wn1 on peat</t>
  </si>
  <si>
    <t>WT10: https://www.gov.uk/countryside-stewardship-grants/management-of-lowland-raised-bog-wt10</t>
  </si>
  <si>
    <t>BE5: Creation of traditional orchards</t>
  </si>
  <si>
    <t>Priority Habitat</t>
  </si>
  <si>
    <t>Includes Ponds</t>
  </si>
  <si>
    <t>A-B</t>
  </si>
  <si>
    <r>
      <t xml:space="preserve">SSSIs Favourable and Unfavourable Recovering under Agri-Environment Schemes (AES) or Woodland management </t>
    </r>
    <r>
      <rPr>
        <b/>
        <sz val="10"/>
        <color theme="1"/>
        <rFont val="Effra"/>
        <family val="2"/>
      </rPr>
      <t>plus</t>
    </r>
    <r>
      <rPr>
        <sz val="10"/>
        <color theme="1"/>
        <rFont val="Effra"/>
        <family val="2"/>
      </rPr>
      <t xml:space="preserve"> Managed Woodland </t>
    </r>
    <r>
      <rPr>
        <b/>
        <sz val="10"/>
        <color theme="1"/>
        <rFont val="Effra"/>
        <family val="2"/>
      </rPr>
      <t>plus</t>
    </r>
    <r>
      <rPr>
        <sz val="10"/>
        <color theme="1"/>
        <rFont val="Effra"/>
        <family val="2"/>
      </rPr>
      <t xml:space="preserve"> Priority Habitats under AES</t>
    </r>
  </si>
  <si>
    <t>Numbers by 2030, assume a linear trajectory to get there; includes numbers for whole of the Wye Valley National Landscape</t>
  </si>
  <si>
    <t>SSSI area in Protected Landscapes</t>
  </si>
  <si>
    <t>Area needed to bring SSSIs into 80% of SSSI area managed</t>
  </si>
  <si>
    <t>Proportion of Peat target within SSSIs (assume as per ratio Deep Peat inside SSSSI/all peat)</t>
  </si>
  <si>
    <t>IF D&lt;C, D, ELSE=D-C</t>
  </si>
  <si>
    <t>Opportunities converted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</si>
</sst>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&quot;£&quot;#,##0"/>
    <numFmt numFmtId="167" formatCode="#,##0;[Red]#,##0"/>
    <numFmt numFmtId="168" formatCode="#,##0.0"/>
    <numFmt numFmtId="169" formatCode="0.0%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Effra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Effra"/>
      <family val="2"/>
    </font>
    <font>
      <b/>
      <i/>
      <sz val="11"/>
      <color theme="1"/>
      <name val="Effra"/>
      <family val="2"/>
    </font>
    <font>
      <i/>
      <sz val="11"/>
      <color theme="1"/>
      <name val="Effra"/>
      <family val="2"/>
    </font>
    <font>
      <i/>
      <sz val="10"/>
      <color theme="1"/>
      <name val="Effra"/>
      <family val="2"/>
    </font>
    <font>
      <sz val="10"/>
      <color theme="1"/>
      <name val="Effra"/>
      <family val="2"/>
    </font>
    <font>
      <b/>
      <sz val="12"/>
      <color theme="1"/>
      <name val="Effra"/>
      <family val="2"/>
    </font>
    <font>
      <u/>
      <sz val="11"/>
      <color theme="10"/>
      <name val="Aptos Narrow"/>
      <family val="2"/>
      <scheme val="minor"/>
    </font>
    <font>
      <b/>
      <sz val="11"/>
      <color theme="0" tint="-0.499984740745262"/>
      <name val="Effra"/>
      <family val="2"/>
    </font>
    <font>
      <sz val="11"/>
      <color theme="0" tint="-0.499984740745262"/>
      <name val="Effra"/>
      <family val="2"/>
    </font>
    <font>
      <sz val="12"/>
      <color theme="1"/>
      <name val="Effra"/>
      <family val="2"/>
    </font>
    <font>
      <sz val="11"/>
      <name val="Effra"/>
      <family val="2"/>
    </font>
    <font>
      <sz val="11"/>
      <color theme="2" tint="-0.499984740745262"/>
      <name val="Effra"/>
      <family val="2"/>
    </font>
    <font>
      <sz val="11"/>
      <color rgb="FFFF0000"/>
      <name val="Effra"/>
      <family val="2"/>
    </font>
    <font>
      <sz val="12"/>
      <color rgb="FFFF0000"/>
      <name val="Effra"/>
      <family val="2"/>
    </font>
    <font>
      <sz val="10"/>
      <color rgb="FFFF0000"/>
      <name val="Effra"/>
      <family val="2"/>
    </font>
    <font>
      <sz val="11"/>
      <color theme="1"/>
      <name val="Effra"/>
      <family val="2"/>
    </font>
    <font>
      <sz val="8"/>
      <color rgb="FF000000"/>
      <name val="MS Sans Serif"/>
    </font>
    <font>
      <b/>
      <sz val="12"/>
      <color rgb="FF000000"/>
      <name val="Effra"/>
      <family val="2"/>
    </font>
    <font>
      <u/>
      <sz val="12"/>
      <name val="Effra"/>
      <family val="2"/>
    </font>
    <font>
      <sz val="12"/>
      <color rgb="FF000000"/>
      <name val="Effra"/>
      <family val="2"/>
    </font>
    <font>
      <b/>
      <sz val="10"/>
      <color theme="1"/>
      <name val="Effr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ont="0" applyBorder="0" applyAlignment="0">
      <protection locked="0"/>
    </xf>
  </cellStyleXfs>
  <cellXfs count="202">
    <xf numFmtId="0" fontId="0" fillId="0" borderId="0" xfId="0"/>
    <xf numFmtId="0" fontId="10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9" fontId="15" fillId="0" borderId="0" xfId="2" applyFont="1" applyAlignment="1">
      <alignment horizontal="center"/>
    </xf>
    <xf numFmtId="9" fontId="15" fillId="2" borderId="0" xfId="2" applyFont="1" applyFill="1" applyAlignment="1">
      <alignment horizontal="center"/>
    </xf>
    <xf numFmtId="9" fontId="15" fillId="0" borderId="0" xfId="2" applyFont="1"/>
    <xf numFmtId="9" fontId="10" fillId="0" borderId="0" xfId="2" applyFont="1"/>
    <xf numFmtId="164" fontId="10" fillId="0" borderId="0" xfId="1" applyNumberFormat="1" applyFont="1" applyAlignment="1">
      <alignment horizontal="right"/>
    </xf>
    <xf numFmtId="164" fontId="10" fillId="0" borderId="0" xfId="0" applyNumberFormat="1" applyFont="1"/>
    <xf numFmtId="164" fontId="10" fillId="0" borderId="0" xfId="1" applyNumberFormat="1" applyFont="1"/>
    <xf numFmtId="0" fontId="15" fillId="2" borderId="0" xfId="0" applyFont="1" applyFill="1"/>
    <xf numFmtId="164" fontId="10" fillId="0" borderId="0" xfId="1" applyNumberFormat="1" applyFont="1" applyFill="1"/>
    <xf numFmtId="0" fontId="16" fillId="0" borderId="0" xfId="0" applyFont="1" applyAlignment="1">
      <alignment horizontal="right"/>
    </xf>
    <xf numFmtId="164" fontId="15" fillId="0" borderId="0" xfId="1" applyNumberFormat="1" applyFont="1" applyAlignment="1">
      <alignment horizontal="center"/>
    </xf>
    <xf numFmtId="0" fontId="17" fillId="0" borderId="0" xfId="0" applyFont="1"/>
    <xf numFmtId="9" fontId="10" fillId="0" borderId="0" xfId="2" applyFont="1" applyAlignment="1">
      <alignment horizont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0" fillId="0" borderId="0" xfId="0" applyFont="1"/>
    <xf numFmtId="0" fontId="17" fillId="2" borderId="0" xfId="0" applyFont="1" applyFill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9" fillId="0" borderId="0" xfId="0" applyFont="1"/>
    <xf numFmtId="166" fontId="9" fillId="0" borderId="0" xfId="0" applyNumberFormat="1" applyFont="1"/>
    <xf numFmtId="166" fontId="15" fillId="0" borderId="0" xfId="0" applyNumberFormat="1" applyFo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166" fontId="20" fillId="0" borderId="0" xfId="0" applyNumberFormat="1" applyFont="1"/>
    <xf numFmtId="0" fontId="21" fillId="0" borderId="0" xfId="3"/>
    <xf numFmtId="166" fontId="23" fillId="0" borderId="0" xfId="0" applyNumberFormat="1" applyFont="1"/>
    <xf numFmtId="0" fontId="21" fillId="0" borderId="0" xfId="3" applyFill="1"/>
    <xf numFmtId="0" fontId="7" fillId="0" borderId="0" xfId="0" applyFont="1"/>
    <xf numFmtId="0" fontId="26" fillId="0" borderId="0" xfId="0" applyFont="1"/>
    <xf numFmtId="0" fontId="20" fillId="0" borderId="5" xfId="0" applyFont="1" applyBorder="1"/>
    <xf numFmtId="0" fontId="15" fillId="0" borderId="0" xfId="0" applyFont="1" applyAlignment="1">
      <alignment horizontal="left"/>
    </xf>
    <xf numFmtId="0" fontId="6" fillId="0" borderId="0" xfId="0" applyFont="1"/>
    <xf numFmtId="0" fontId="6" fillId="2" borderId="0" xfId="0" applyFont="1" applyFill="1" applyAlignment="1">
      <alignment horizontal="right"/>
    </xf>
    <xf numFmtId="3" fontId="10" fillId="0" borderId="0" xfId="0" applyNumberFormat="1" applyFont="1"/>
    <xf numFmtId="0" fontId="17" fillId="0" borderId="0" xfId="0" applyFont="1" applyAlignment="1">
      <alignment horizontal="right"/>
    </xf>
    <xf numFmtId="9" fontId="10" fillId="0" borderId="0" xfId="2" applyFont="1" applyFill="1" applyAlignment="1">
      <alignment horizontal="center"/>
    </xf>
    <xf numFmtId="0" fontId="18" fillId="0" borderId="0" xfId="0" applyFont="1"/>
    <xf numFmtId="0" fontId="6" fillId="0" borderId="0" xfId="0" applyFont="1" applyAlignment="1">
      <alignment horizontal="right"/>
    </xf>
    <xf numFmtId="167" fontId="20" fillId="0" borderId="0" xfId="0" applyNumberFormat="1" applyFont="1" applyAlignment="1">
      <alignment horizontal="right"/>
    </xf>
    <xf numFmtId="3" fontId="20" fillId="0" borderId="0" xfId="0" applyNumberFormat="1" applyFont="1"/>
    <xf numFmtId="3" fontId="16" fillId="0" borderId="0" xfId="1" applyNumberFormat="1" applyFont="1"/>
    <xf numFmtId="3" fontId="19" fillId="0" borderId="0" xfId="1" applyNumberFormat="1" applyFont="1"/>
    <xf numFmtId="3" fontId="15" fillId="0" borderId="0" xfId="1" applyNumberFormat="1" applyFont="1"/>
    <xf numFmtId="3" fontId="18" fillId="0" borderId="0" xfId="0" applyNumberFormat="1" applyFont="1"/>
    <xf numFmtId="3" fontId="15" fillId="3" borderId="0" xfId="0" applyNumberFormat="1" applyFont="1" applyFill="1"/>
    <xf numFmtId="3" fontId="15" fillId="3" borderId="0" xfId="1" applyNumberFormat="1" applyFont="1" applyFill="1"/>
    <xf numFmtId="3" fontId="10" fillId="0" borderId="0" xfId="1" applyNumberFormat="1" applyFont="1"/>
    <xf numFmtId="3" fontId="18" fillId="3" borderId="0" xfId="0" applyNumberFormat="1" applyFont="1" applyFill="1"/>
    <xf numFmtId="0" fontId="17" fillId="0" borderId="0" xfId="0" applyFont="1" applyAlignment="1">
      <alignment vertical="center"/>
    </xf>
    <xf numFmtId="3" fontId="18" fillId="0" borderId="0" xfId="1" applyNumberFormat="1" applyFont="1" applyFill="1"/>
    <xf numFmtId="3" fontId="19" fillId="0" borderId="0" xfId="0" applyNumberFormat="1" applyFont="1"/>
    <xf numFmtId="3" fontId="19" fillId="0" borderId="0" xfId="1" applyNumberFormat="1" applyFont="1" applyFill="1"/>
    <xf numFmtId="9" fontId="27" fillId="0" borderId="0" xfId="2" applyFont="1" applyFill="1" applyAlignment="1">
      <alignment horizontal="center"/>
    </xf>
    <xf numFmtId="3" fontId="28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9" fillId="0" borderId="0" xfId="1" applyNumberFormat="1" applyFont="1" applyFill="1" applyAlignment="1">
      <alignment horizontal="center"/>
    </xf>
    <xf numFmtId="3" fontId="27" fillId="0" borderId="0" xfId="1" applyNumberFormat="1" applyFont="1" applyFill="1" applyAlignment="1">
      <alignment horizontal="center"/>
    </xf>
    <xf numFmtId="167" fontId="28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6" fontId="9" fillId="0" borderId="0" xfId="0" applyNumberFormat="1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30" fillId="0" borderId="0" xfId="0" applyFont="1"/>
    <xf numFmtId="0" fontId="20" fillId="0" borderId="1" xfId="0" applyFont="1" applyBorder="1"/>
    <xf numFmtId="0" fontId="2" fillId="2" borderId="0" xfId="0" applyFont="1" applyFill="1" applyAlignment="1">
      <alignment horizontal="right"/>
    </xf>
    <xf numFmtId="0" fontId="32" fillId="0" borderId="1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20" fillId="0" borderId="12" xfId="0" applyFont="1" applyBorder="1"/>
    <xf numFmtId="0" fontId="20" fillId="0" borderId="2" xfId="0" applyFont="1" applyBorder="1"/>
    <xf numFmtId="0" fontId="33" fillId="4" borderId="5" xfId="3" applyFont="1" applyFill="1" applyBorder="1" applyAlignment="1">
      <alignment vertical="center"/>
    </xf>
    <xf numFmtId="0" fontId="34" fillId="4" borderId="5" xfId="0" applyFont="1" applyFill="1" applyBorder="1" applyAlignment="1">
      <alignment vertical="center"/>
    </xf>
    <xf numFmtId="0" fontId="24" fillId="4" borderId="0" xfId="0" applyFont="1" applyFill="1"/>
    <xf numFmtId="166" fontId="24" fillId="4" borderId="6" xfId="0" applyNumberFormat="1" applyFont="1" applyFill="1" applyBorder="1"/>
    <xf numFmtId="0" fontId="24" fillId="4" borderId="8" xfId="0" applyFont="1" applyFill="1" applyBorder="1"/>
    <xf numFmtId="0" fontId="24" fillId="4" borderId="6" xfId="0" applyFont="1" applyFill="1" applyBorder="1"/>
    <xf numFmtId="0" fontId="24" fillId="0" borderId="7" xfId="0" applyFont="1" applyBorder="1"/>
    <xf numFmtId="0" fontId="33" fillId="4" borderId="3" xfId="3" applyFont="1" applyFill="1" applyBorder="1" applyAlignment="1">
      <alignment vertical="center"/>
    </xf>
    <xf numFmtId="0" fontId="34" fillId="4" borderId="4" xfId="0" applyFont="1" applyFill="1" applyBorder="1" applyAlignment="1">
      <alignment vertical="center"/>
    </xf>
    <xf numFmtId="0" fontId="24" fillId="4" borderId="10" xfId="0" applyFont="1" applyFill="1" applyBorder="1"/>
    <xf numFmtId="166" fontId="24" fillId="4" borderId="3" xfId="0" applyNumberFormat="1" applyFont="1" applyFill="1" applyBorder="1"/>
    <xf numFmtId="0" fontId="24" fillId="4" borderId="3" xfId="0" applyFont="1" applyFill="1" applyBorder="1"/>
    <xf numFmtId="0" fontId="24" fillId="4" borderId="4" xfId="0" applyFont="1" applyFill="1" applyBorder="1"/>
    <xf numFmtId="0" fontId="33" fillId="6" borderId="5" xfId="3" applyFont="1" applyFill="1" applyBorder="1" applyAlignment="1">
      <alignment vertical="center"/>
    </xf>
    <xf numFmtId="0" fontId="34" fillId="6" borderId="5" xfId="0" applyFont="1" applyFill="1" applyBorder="1" applyAlignment="1">
      <alignment vertical="center"/>
    </xf>
    <xf numFmtId="0" fontId="24" fillId="6" borderId="0" xfId="0" applyFont="1" applyFill="1"/>
    <xf numFmtId="166" fontId="24" fillId="6" borderId="6" xfId="0" applyNumberFormat="1" applyFont="1" applyFill="1" applyBorder="1"/>
    <xf numFmtId="166" fontId="24" fillId="6" borderId="6" xfId="0" applyNumberFormat="1" applyFont="1" applyFill="1" applyBorder="1" applyAlignment="1">
      <alignment wrapText="1"/>
    </xf>
    <xf numFmtId="0" fontId="24" fillId="6" borderId="8" xfId="0" applyFont="1" applyFill="1" applyBorder="1"/>
    <xf numFmtId="0" fontId="24" fillId="0" borderId="0" xfId="0" applyFont="1" applyAlignment="1">
      <alignment wrapText="1"/>
    </xf>
    <xf numFmtId="0" fontId="24" fillId="6" borderId="6" xfId="0" applyFont="1" applyFill="1" applyBorder="1" applyAlignment="1">
      <alignment wrapText="1"/>
    </xf>
    <xf numFmtId="0" fontId="24" fillId="6" borderId="6" xfId="0" applyFont="1" applyFill="1" applyBorder="1"/>
    <xf numFmtId="0" fontId="24" fillId="6" borderId="8" xfId="0" applyFont="1" applyFill="1" applyBorder="1" applyAlignment="1">
      <alignment wrapText="1"/>
    </xf>
    <xf numFmtId="0" fontId="24" fillId="6" borderId="3" xfId="0" applyFont="1" applyFill="1" applyBorder="1"/>
    <xf numFmtId="0" fontId="24" fillId="6" borderId="4" xfId="0" applyFont="1" applyFill="1" applyBorder="1" applyAlignment="1">
      <alignment wrapText="1"/>
    </xf>
    <xf numFmtId="0" fontId="24" fillId="0" borderId="8" xfId="0" applyFont="1" applyBorder="1"/>
    <xf numFmtId="0" fontId="24" fillId="0" borderId="10" xfId="0" applyFont="1" applyBorder="1"/>
    <xf numFmtId="0" fontId="24" fillId="0" borderId="4" xfId="0" applyFont="1" applyBorder="1"/>
    <xf numFmtId="0" fontId="24" fillId="2" borderId="0" xfId="0" applyFont="1" applyFill="1"/>
    <xf numFmtId="0" fontId="24" fillId="2" borderId="10" xfId="0" applyFont="1" applyFill="1" applyBorder="1"/>
    <xf numFmtId="0" fontId="33" fillId="4" borderId="9" xfId="3" applyFont="1" applyFill="1" applyBorder="1" applyAlignment="1">
      <alignment vertical="center"/>
    </xf>
    <xf numFmtId="0" fontId="34" fillId="4" borderId="9" xfId="0" applyFont="1" applyFill="1" applyBorder="1" applyAlignment="1">
      <alignment vertical="center"/>
    </xf>
    <xf numFmtId="0" fontId="24" fillId="4" borderId="15" xfId="0" applyFont="1" applyFill="1" applyBorder="1"/>
    <xf numFmtId="166" fontId="24" fillId="4" borderId="9" xfId="0" applyNumberFormat="1" applyFont="1" applyFill="1" applyBorder="1"/>
    <xf numFmtId="0" fontId="33" fillId="6" borderId="9" xfId="3" applyFont="1" applyFill="1" applyBorder="1" applyAlignment="1">
      <alignment vertical="center"/>
    </xf>
    <xf numFmtId="0" fontId="34" fillId="6" borderId="9" xfId="0" applyFont="1" applyFill="1" applyBorder="1" applyAlignment="1">
      <alignment vertical="center"/>
    </xf>
    <xf numFmtId="0" fontId="24" fillId="6" borderId="15" xfId="0" applyFont="1" applyFill="1" applyBorder="1"/>
    <xf numFmtId="166" fontId="24" fillId="6" borderId="9" xfId="0" applyNumberFormat="1" applyFont="1" applyFill="1" applyBorder="1"/>
    <xf numFmtId="0" fontId="33" fillId="6" borderId="9" xfId="3" applyFont="1" applyFill="1" applyBorder="1" applyAlignment="1">
      <alignment vertical="center" wrapText="1"/>
    </xf>
    <xf numFmtId="0" fontId="34" fillId="6" borderId="9" xfId="0" applyFont="1" applyFill="1" applyBorder="1" applyAlignment="1">
      <alignment vertical="center" wrapText="1"/>
    </xf>
    <xf numFmtId="166" fontId="24" fillId="6" borderId="9" xfId="0" applyNumberFormat="1" applyFont="1" applyFill="1" applyBorder="1" applyAlignment="1">
      <alignment wrapText="1"/>
    </xf>
    <xf numFmtId="0" fontId="34" fillId="6" borderId="16" xfId="0" applyFont="1" applyFill="1" applyBorder="1" applyAlignment="1">
      <alignment vertical="center" wrapText="1"/>
    </xf>
    <xf numFmtId="0" fontId="24" fillId="6" borderId="17" xfId="0" applyFont="1" applyFill="1" applyBorder="1"/>
    <xf numFmtId="0" fontId="24" fillId="6" borderId="18" xfId="0" applyFont="1" applyFill="1" applyBorder="1"/>
    <xf numFmtId="6" fontId="24" fillId="6" borderId="18" xfId="0" applyNumberFormat="1" applyFont="1" applyFill="1" applyBorder="1"/>
    <xf numFmtId="0" fontId="25" fillId="6" borderId="9" xfId="3" applyFont="1" applyFill="1" applyBorder="1" applyAlignment="1">
      <alignment vertical="center" wrapText="1"/>
    </xf>
    <xf numFmtId="0" fontId="25" fillId="6" borderId="18" xfId="3" applyFont="1" applyFill="1" applyBorder="1"/>
    <xf numFmtId="0" fontId="24" fillId="2" borderId="15" xfId="0" applyFont="1" applyFill="1" applyBorder="1"/>
    <xf numFmtId="0" fontId="33" fillId="2" borderId="6" xfId="3" applyFont="1" applyFill="1" applyBorder="1" applyAlignment="1">
      <alignment vertical="center"/>
    </xf>
    <xf numFmtId="0" fontId="34" fillId="2" borderId="8" xfId="0" applyFont="1" applyFill="1" applyBorder="1" applyAlignment="1">
      <alignment vertical="center"/>
    </xf>
    <xf numFmtId="166" fontId="24" fillId="2" borderId="6" xfId="0" applyNumberFormat="1" applyFont="1" applyFill="1" applyBorder="1"/>
    <xf numFmtId="0" fontId="33" fillId="2" borderId="9" xfId="3" applyFont="1" applyFill="1" applyBorder="1" applyAlignment="1">
      <alignment vertical="center"/>
    </xf>
    <xf numFmtId="0" fontId="34" fillId="2" borderId="16" xfId="0" applyFont="1" applyFill="1" applyBorder="1" applyAlignment="1">
      <alignment vertical="center"/>
    </xf>
    <xf numFmtId="166" fontId="24" fillId="2" borderId="9" xfId="0" applyNumberFormat="1" applyFont="1" applyFill="1" applyBorder="1"/>
    <xf numFmtId="0" fontId="33" fillId="2" borderId="3" xfId="3" applyFont="1" applyFill="1" applyBorder="1" applyAlignment="1">
      <alignment vertical="center"/>
    </xf>
    <xf numFmtId="0" fontId="34" fillId="2" borderId="4" xfId="0" applyFont="1" applyFill="1" applyBorder="1" applyAlignment="1">
      <alignment vertical="center"/>
    </xf>
    <xf numFmtId="166" fontId="24" fillId="2" borderId="3" xfId="0" applyNumberFormat="1" applyFont="1" applyFill="1" applyBorder="1"/>
    <xf numFmtId="0" fontId="24" fillId="2" borderId="8" xfId="0" applyFont="1" applyFill="1" applyBorder="1"/>
    <xf numFmtId="0" fontId="24" fillId="2" borderId="6" xfId="0" applyFont="1" applyFill="1" applyBorder="1"/>
    <xf numFmtId="0" fontId="24" fillId="2" borderId="3" xfId="0" applyFont="1" applyFill="1" applyBorder="1"/>
    <xf numFmtId="0" fontId="24" fillId="2" borderId="4" xfId="0" applyFont="1" applyFill="1" applyBorder="1"/>
    <xf numFmtId="0" fontId="33" fillId="5" borderId="6" xfId="3" applyFont="1" applyFill="1" applyBorder="1" applyAlignment="1">
      <alignment vertical="center"/>
    </xf>
    <xf numFmtId="0" fontId="34" fillId="5" borderId="8" xfId="0" applyFont="1" applyFill="1" applyBorder="1" applyAlignment="1">
      <alignment vertical="center"/>
    </xf>
    <xf numFmtId="0" fontId="24" fillId="5" borderId="0" xfId="0" applyFont="1" applyFill="1"/>
    <xf numFmtId="166" fontId="24" fillId="5" borderId="6" xfId="0" applyNumberFormat="1" applyFont="1" applyFill="1" applyBorder="1"/>
    <xf numFmtId="0" fontId="24" fillId="5" borderId="8" xfId="0" applyFont="1" applyFill="1" applyBorder="1"/>
    <xf numFmtId="0" fontId="33" fillId="5" borderId="9" xfId="3" applyFont="1" applyFill="1" applyBorder="1" applyAlignment="1">
      <alignment vertical="center"/>
    </xf>
    <xf numFmtId="0" fontId="34" fillId="5" borderId="16" xfId="0" applyFont="1" applyFill="1" applyBorder="1" applyAlignment="1">
      <alignment vertical="center"/>
    </xf>
    <xf numFmtId="0" fontId="24" fillId="5" borderId="15" xfId="0" applyFont="1" applyFill="1" applyBorder="1"/>
    <xf numFmtId="166" fontId="24" fillId="5" borderId="9" xfId="0" applyNumberFormat="1" applyFont="1" applyFill="1" applyBorder="1"/>
    <xf numFmtId="0" fontId="24" fillId="5" borderId="6" xfId="0" applyFont="1" applyFill="1" applyBorder="1"/>
    <xf numFmtId="0" fontId="33" fillId="5" borderId="3" xfId="3" applyFont="1" applyFill="1" applyBorder="1" applyAlignment="1">
      <alignment vertical="center"/>
    </xf>
    <xf numFmtId="0" fontId="34" fillId="5" borderId="4" xfId="0" applyFont="1" applyFill="1" applyBorder="1" applyAlignment="1">
      <alignment vertical="center"/>
    </xf>
    <xf numFmtId="0" fontId="24" fillId="5" borderId="14" xfId="0" applyFont="1" applyFill="1" applyBorder="1"/>
    <xf numFmtId="166" fontId="24" fillId="5" borderId="3" xfId="0" applyNumberFormat="1" applyFont="1" applyFill="1" applyBorder="1"/>
    <xf numFmtId="0" fontId="24" fillId="5" borderId="3" xfId="0" applyFont="1" applyFill="1" applyBorder="1"/>
    <xf numFmtId="0" fontId="24" fillId="5" borderId="4" xfId="0" applyFont="1" applyFill="1" applyBorder="1"/>
    <xf numFmtId="0" fontId="33" fillId="7" borderId="6" xfId="3" applyFont="1" applyFill="1" applyBorder="1" applyAlignment="1">
      <alignment vertical="center"/>
    </xf>
    <xf numFmtId="0" fontId="34" fillId="7" borderId="8" xfId="0" applyFont="1" applyFill="1" applyBorder="1" applyAlignment="1">
      <alignment vertical="center"/>
    </xf>
    <xf numFmtId="0" fontId="24" fillId="7" borderId="0" xfId="0" applyFont="1" applyFill="1"/>
    <xf numFmtId="166" fontId="24" fillId="7" borderId="6" xfId="0" applyNumberFormat="1" applyFont="1" applyFill="1" applyBorder="1"/>
    <xf numFmtId="0" fontId="24" fillId="7" borderId="8" xfId="0" applyFont="1" applyFill="1" applyBorder="1"/>
    <xf numFmtId="0" fontId="33" fillId="7" borderId="9" xfId="3" applyFont="1" applyFill="1" applyBorder="1" applyAlignment="1">
      <alignment vertical="center"/>
    </xf>
    <xf numFmtId="0" fontId="34" fillId="7" borderId="16" xfId="0" applyFont="1" applyFill="1" applyBorder="1" applyAlignment="1">
      <alignment vertical="center"/>
    </xf>
    <xf numFmtId="0" fontId="24" fillId="7" borderId="15" xfId="0" applyFont="1" applyFill="1" applyBorder="1"/>
    <xf numFmtId="166" fontId="24" fillId="7" borderId="9" xfId="0" applyNumberFormat="1" applyFont="1" applyFill="1" applyBorder="1"/>
    <xf numFmtId="0" fontId="24" fillId="7" borderId="6" xfId="0" applyFont="1" applyFill="1" applyBorder="1"/>
    <xf numFmtId="0" fontId="33" fillId="7" borderId="3" xfId="3" applyFont="1" applyFill="1" applyBorder="1" applyAlignment="1">
      <alignment vertical="center"/>
    </xf>
    <xf numFmtId="0" fontId="34" fillId="7" borderId="4" xfId="0" applyFont="1" applyFill="1" applyBorder="1" applyAlignment="1">
      <alignment vertical="center"/>
    </xf>
    <xf numFmtId="0" fontId="24" fillId="7" borderId="10" xfId="0" applyFont="1" applyFill="1" applyBorder="1"/>
    <xf numFmtId="166" fontId="24" fillId="7" borderId="3" xfId="0" applyNumberFormat="1" applyFont="1" applyFill="1" applyBorder="1"/>
    <xf numFmtId="0" fontId="24" fillId="7" borderId="3" xfId="0" applyFont="1" applyFill="1" applyBorder="1"/>
    <xf numFmtId="0" fontId="24" fillId="7" borderId="4" xfId="0" applyFont="1" applyFill="1" applyBorder="1"/>
    <xf numFmtId="1" fontId="24" fillId="0" borderId="0" xfId="0" applyNumberFormat="1" applyFont="1"/>
    <xf numFmtId="0" fontId="20" fillId="0" borderId="11" xfId="0" applyFont="1" applyBorder="1"/>
    <xf numFmtId="0" fontId="20" fillId="0" borderId="13" xfId="0" applyFont="1" applyBorder="1"/>
    <xf numFmtId="0" fontId="24" fillId="0" borderId="11" xfId="0" applyFont="1" applyBorder="1"/>
    <xf numFmtId="0" fontId="20" fillId="0" borderId="10" xfId="0" applyFont="1" applyBorder="1"/>
    <xf numFmtId="165" fontId="20" fillId="0" borderId="5" xfId="0" applyNumberFormat="1" applyFont="1" applyBorder="1"/>
    <xf numFmtId="0" fontId="24" fillId="6" borderId="7" xfId="0" applyFont="1" applyFill="1" applyBorder="1"/>
    <xf numFmtId="0" fontId="24" fillId="2" borderId="7" xfId="0" applyFont="1" applyFill="1" applyBorder="1"/>
    <xf numFmtId="0" fontId="24" fillId="5" borderId="10" xfId="0" applyFont="1" applyFill="1" applyBorder="1"/>
    <xf numFmtId="0" fontId="24" fillId="4" borderId="11" xfId="0" applyFont="1" applyFill="1" applyBorder="1"/>
    <xf numFmtId="0" fontId="24" fillId="0" borderId="13" xfId="0" applyFont="1" applyBorder="1"/>
    <xf numFmtId="168" fontId="24" fillId="2" borderId="5" xfId="0" applyNumberFormat="1" applyFont="1" applyFill="1" applyBorder="1"/>
    <xf numFmtId="168" fontId="24" fillId="4" borderId="6" xfId="0" applyNumberFormat="1" applyFont="1" applyFill="1" applyBorder="1"/>
    <xf numFmtId="168" fontId="24" fillId="5" borderId="6" xfId="0" applyNumberFormat="1" applyFont="1" applyFill="1" applyBorder="1"/>
    <xf numFmtId="168" fontId="24" fillId="2" borderId="6" xfId="0" applyNumberFormat="1" applyFont="1" applyFill="1" applyBorder="1"/>
    <xf numFmtId="168" fontId="24" fillId="6" borderId="6" xfId="0" applyNumberFormat="1" applyFont="1" applyFill="1" applyBorder="1"/>
    <xf numFmtId="168" fontId="24" fillId="2" borderId="3" xfId="0" applyNumberFormat="1" applyFont="1" applyFill="1" applyBorder="1"/>
    <xf numFmtId="168" fontId="24" fillId="0" borderId="3" xfId="0" applyNumberFormat="1" applyFont="1" applyBorder="1"/>
    <xf numFmtId="3" fontId="24" fillId="4" borderId="5" xfId="0" applyNumberFormat="1" applyFont="1" applyFill="1" applyBorder="1"/>
    <xf numFmtId="3" fontId="24" fillId="6" borderId="6" xfId="0" applyNumberFormat="1" applyFont="1" applyFill="1" applyBorder="1"/>
    <xf numFmtId="3" fontId="24" fillId="2" borderId="6" xfId="0" applyNumberFormat="1" applyFont="1" applyFill="1" applyBorder="1"/>
    <xf numFmtId="3" fontId="24" fillId="5" borderId="3" xfId="0" applyNumberFormat="1" applyFont="1" applyFill="1" applyBorder="1"/>
    <xf numFmtId="168" fontId="24" fillId="7" borderId="6" xfId="0" applyNumberFormat="1" applyFont="1" applyFill="1" applyBorder="1"/>
    <xf numFmtId="169" fontId="10" fillId="0" borderId="0" xfId="2" applyNumberFormat="1" applyFont="1"/>
    <xf numFmtId="0" fontId="19" fillId="0" borderId="0" xfId="0" applyFont="1"/>
    <xf numFmtId="0" fontId="29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5">
    <cellStyle name="Comma" xfId="1" builtinId="3"/>
    <cellStyle name="Hyperlink" xfId="3" builtinId="8"/>
    <cellStyle name="Normal" xfId="0" builtinId="0"/>
    <cellStyle name="Normal 3" xfId="4" xr:uid="{A70893A0-EFA0-418A-AF50-72AE7BFE5BD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efrafarming.blog.gov.uk/2023/11/28/farming-in-protected-landscapes-interim-evaluation-findings/;%20&#163;100m%20over%204%20years,%203,176,412ha;%20assume%20effective%20cover%205%25.%20Intervention%20rate%2050%25" TargetMode="External"/><Relationship Id="rId2" Type="http://schemas.openxmlformats.org/officeDocument/2006/relationships/hyperlink" Target="https://assets.publishing.service.gov.uk/media/641c370732a8e0000cfa92a2/WMB_100ha_Financial_study_Mar_23.pdf" TargetMode="External"/><Relationship Id="rId1" Type="http://schemas.openxmlformats.org/officeDocument/2006/relationships/hyperlink" Target="https://sefari.scot/sites/default/files/documents/The%20costs%20of%20peatland%20restoration%20March%202021.pdf" TargetMode="External"/><Relationship Id="rId4" Type="http://schemas.openxmlformats.org/officeDocument/2006/relationships/hyperlink" Target="https://www.gov.uk/government/publications/woodland-grants-and-incentives-overview-table/woodland-grants-and-incentives-overview-tabl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hive.greenfinanceinstitute.com/wp-content/uploads/2021/10/Appendix2.pdf" TargetMode="External"/><Relationship Id="rId1" Type="http://schemas.openxmlformats.org/officeDocument/2006/relationships/hyperlink" Target="https://defrafarming.blog.gov.uk/2023/11/28/farming-in-protected-landscapes-interim-evaluation-findings/;%20&#163;100m%20over%204%20years,%203,176,412ha;%20assume%20effective%20cover%205%25.%20Ointervention%20rate%2050%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v.uk/countryside-stewardship-grants/flower-rich-margins-and-plots-ab8" TargetMode="External"/><Relationship Id="rId13" Type="http://schemas.openxmlformats.org/officeDocument/2006/relationships/hyperlink" Target="https://www.gov.uk/countryside-stewardship-grants/creation-of-traditional-orchards-be5" TargetMode="External"/><Relationship Id="rId18" Type="http://schemas.openxmlformats.org/officeDocument/2006/relationships/hyperlink" Target="https://www.gov.uk/countryside-stewardship-grants/creation-of-inter-tidal-and-saline-habitat-on-intensive-grassland-ct7" TargetMode="External"/><Relationship Id="rId3" Type="http://schemas.openxmlformats.org/officeDocument/2006/relationships/hyperlink" Target="https://www.gov.uk/countryside-stewardship-grants/creation-of-fen-wt9" TargetMode="External"/><Relationship Id="rId21" Type="http://schemas.openxmlformats.org/officeDocument/2006/relationships/hyperlink" Target="https://www.gov.uk/countryside-stewardship-grants/creation-of-coastal-sand-dunes-and-vegetated-shingle-on-arable-land-and-improved-grassland-ct2" TargetMode="External"/><Relationship Id="rId7" Type="http://schemas.openxmlformats.org/officeDocument/2006/relationships/hyperlink" Target="https://www.gov.uk/countryside-stewardship-grants/restoration-of-forestry-and-woodland-to-lowland-heathland-lh2" TargetMode="External"/><Relationship Id="rId12" Type="http://schemas.openxmlformats.org/officeDocument/2006/relationships/hyperlink" Target="https://www.gov.uk/countryside-stewardship-grants/restoration-of-large-water-bodies-wn7" TargetMode="External"/><Relationship Id="rId17" Type="http://schemas.openxmlformats.org/officeDocument/2006/relationships/hyperlink" Target="https://www.gov.uk/countryside-stewardship-grants/creation-of-inter-tidal-and-saline-habitat-by-non-intervention-ct5" TargetMode="External"/><Relationship Id="rId2" Type="http://schemas.openxmlformats.org/officeDocument/2006/relationships/hyperlink" Target="https://www.gov.uk/countryside-stewardship-grants/creation-of-species-rich-grassland-gs8" TargetMode="External"/><Relationship Id="rId16" Type="http://schemas.openxmlformats.org/officeDocument/2006/relationships/hyperlink" Target="https://www.gov.uk/countryside-stewardship-grants/creation-of-inter-tidal-and-saline-habitat-on-arable-land-ct4" TargetMode="External"/><Relationship Id="rId20" Type="http://schemas.openxmlformats.org/officeDocument/2006/relationships/hyperlink" Target="https://www.gov.uk/countryside-stewardship-grants/planting-new-hedges-bn11" TargetMode="External"/><Relationship Id="rId1" Type="http://schemas.openxmlformats.org/officeDocument/2006/relationships/hyperlink" Target="https://www.gov.uk/countryside-stewardship-grants/restoration-towards-species-rich-grassland-gs7" TargetMode="External"/><Relationship Id="rId6" Type="http://schemas.openxmlformats.org/officeDocument/2006/relationships/hyperlink" Target="https://www.gov.uk/countryside-stewardship-grants/creation-of-heathland-from-arable-or-improved-grassland-lh3" TargetMode="External"/><Relationship Id="rId11" Type="http://schemas.openxmlformats.org/officeDocument/2006/relationships/hyperlink" Target="https://www.gov.uk/countryside-stewardship-grants/pond-management-areas-more-than-100-sq-m-wn6" TargetMode="External"/><Relationship Id="rId5" Type="http://schemas.openxmlformats.org/officeDocument/2006/relationships/hyperlink" Target="https://www.gov.uk/countryside-stewardship-grants/moorland-re-wetting-supplement-up5" TargetMode="External"/><Relationship Id="rId15" Type="http://schemas.openxmlformats.org/officeDocument/2006/relationships/hyperlink" Target="https://www.gov.uk/countryside-stewardship-grants/wd12-creation-of-upland-wood-pasture" TargetMode="External"/><Relationship Id="rId23" Type="http://schemas.openxmlformats.org/officeDocument/2006/relationships/hyperlink" Target="https://www.gov.uk/countryside-stewardship-grants/grip-blocking-drainage-channels-wn1%20on%20peat" TargetMode="External"/><Relationship Id="rId10" Type="http://schemas.openxmlformats.org/officeDocument/2006/relationships/hyperlink" Target="https://www.gov.uk/countryside-stewardship-grants/pond-management-first-100-sq-m-wn5" TargetMode="External"/><Relationship Id="rId19" Type="http://schemas.openxmlformats.org/officeDocument/2006/relationships/hyperlink" Target="https://www.gov.uk/countryside-stewardship-grants/hedgerow-gapping-up-bn7" TargetMode="External"/><Relationship Id="rId4" Type="http://schemas.openxmlformats.org/officeDocument/2006/relationships/hyperlink" Target="https://www.gov.uk/countryside-stewardship-grants/creation-of-reedbed-wt7" TargetMode="External"/><Relationship Id="rId9" Type="http://schemas.openxmlformats.org/officeDocument/2006/relationships/hyperlink" Target="https://www.gov.uk/countryside-stewardship-grants/creation-of-successional-areas-and-scrub-wd8" TargetMode="External"/><Relationship Id="rId14" Type="http://schemas.openxmlformats.org/officeDocument/2006/relationships/hyperlink" Target="https://www.gov.uk/countryside-stewardship-grants/creation-of-wood-pasture-wd6" TargetMode="External"/><Relationship Id="rId22" Type="http://schemas.openxmlformats.org/officeDocument/2006/relationships/hyperlink" Target="https://www.gov.uk/countryside-stewardship-grants/management-of-lowland-raised-bog-wt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39E3-32F4-4FFD-9787-1AD79C84F6FB}">
  <dimension ref="B2:O38"/>
  <sheetViews>
    <sheetView tabSelected="1" topLeftCell="E15" zoomScale="110" zoomScaleNormal="110" workbookViewId="0">
      <selection activeCell="C27" sqref="C27"/>
    </sheetView>
  </sheetViews>
  <sheetFormatPr defaultColWidth="9.140625" defaultRowHeight="15" x14ac:dyDescent="0.25"/>
  <cols>
    <col min="1" max="1" width="9.140625" style="1"/>
    <col min="2" max="2" width="52.28515625" style="1" customWidth="1"/>
    <col min="3" max="3" width="14.28515625" style="1" customWidth="1"/>
    <col min="4" max="4" width="17.42578125" style="1" customWidth="1"/>
    <col min="5" max="5" width="59.85546875" style="1" customWidth="1"/>
    <col min="6" max="6" width="13.140625" style="1" customWidth="1"/>
    <col min="7" max="11" width="14.28515625" style="1" customWidth="1"/>
    <col min="12" max="12" width="8.5703125" style="65" customWidth="1"/>
    <col min="13" max="13" width="41.5703125" style="65" customWidth="1"/>
    <col min="14" max="14" width="144.85546875" style="1" customWidth="1"/>
    <col min="15" max="16384" width="9.140625" style="1"/>
  </cols>
  <sheetData>
    <row r="2" spans="2:15" x14ac:dyDescent="0.25">
      <c r="C2" s="2" t="s">
        <v>1</v>
      </c>
      <c r="D2" s="2"/>
      <c r="E2" s="3"/>
      <c r="F2" s="4">
        <v>0.3</v>
      </c>
      <c r="G2" s="4">
        <v>0.35</v>
      </c>
      <c r="H2" s="5">
        <v>0.38</v>
      </c>
      <c r="I2" s="4">
        <v>0.4</v>
      </c>
      <c r="J2" s="4">
        <v>0.45</v>
      </c>
      <c r="K2" s="4">
        <v>0.5</v>
      </c>
      <c r="L2" s="58"/>
      <c r="M2" s="58"/>
      <c r="N2" s="6" t="s">
        <v>10</v>
      </c>
      <c r="O2" s="7"/>
    </row>
    <row r="3" spans="2:15" ht="15.75" x14ac:dyDescent="0.25">
      <c r="B3" s="3" t="s">
        <v>2</v>
      </c>
      <c r="C3" s="8">
        <v>13027900</v>
      </c>
      <c r="D3" s="8"/>
      <c r="E3" s="19" t="s">
        <v>12</v>
      </c>
      <c r="F3" s="45">
        <f>($C$4*F$2)+3404.5</f>
        <v>962347.29999999993</v>
      </c>
      <c r="G3" s="45">
        <f>($C$4*G$2)+3404.5</f>
        <v>1122171.0999999999</v>
      </c>
      <c r="H3" s="45">
        <f>($C$4*H$2)+3404.5</f>
        <v>1218065.3800000001</v>
      </c>
      <c r="I3" s="45">
        <f>($C$4*I$2)+3404.5</f>
        <v>1281994.9000000001</v>
      </c>
      <c r="J3" s="45">
        <f t="shared" ref="J3:K3" si="0">($C$4*J$2)+3404.5</f>
        <v>1441818.7</v>
      </c>
      <c r="K3" s="45">
        <f t="shared" si="0"/>
        <v>1601642.5</v>
      </c>
      <c r="L3" s="59" t="s">
        <v>192</v>
      </c>
      <c r="M3" s="59"/>
      <c r="N3" s="194" t="s">
        <v>258</v>
      </c>
    </row>
    <row r="4" spans="2:15" x14ac:dyDescent="0.25">
      <c r="B4" s="3" t="s">
        <v>0</v>
      </c>
      <c r="C4" s="10">
        <f>3197260-784</f>
        <v>3196476</v>
      </c>
      <c r="D4" s="10"/>
      <c r="F4" s="39"/>
      <c r="G4" s="39"/>
      <c r="H4" s="39"/>
      <c r="I4" s="39"/>
      <c r="J4" s="39"/>
      <c r="K4" s="39"/>
      <c r="L4" s="60"/>
      <c r="M4" s="60"/>
      <c r="N4" s="194"/>
    </row>
    <row r="5" spans="2:15" ht="15.75" x14ac:dyDescent="0.25">
      <c r="B5" s="11" t="s">
        <v>7</v>
      </c>
      <c r="C5" s="10">
        <v>250000</v>
      </c>
      <c r="D5" s="10"/>
      <c r="E5" s="3" t="s">
        <v>11</v>
      </c>
      <c r="F5" s="45">
        <f>$C$4*$H$2*$C$25</f>
        <v>719995.96656488173</v>
      </c>
      <c r="G5" s="45">
        <f t="shared" ref="G5:K5" si="1">$C$4*$H$2*$C$25</f>
        <v>719995.96656488173</v>
      </c>
      <c r="H5" s="45">
        <f t="shared" si="1"/>
        <v>719995.96656488173</v>
      </c>
      <c r="I5" s="45">
        <f t="shared" si="1"/>
        <v>719995.96656488173</v>
      </c>
      <c r="J5" s="45">
        <f t="shared" si="1"/>
        <v>719995.96656488173</v>
      </c>
      <c r="K5" s="45">
        <f t="shared" si="1"/>
        <v>719995.96656488173</v>
      </c>
      <c r="L5" s="59" t="s">
        <v>193</v>
      </c>
      <c r="M5" s="64" t="s">
        <v>195</v>
      </c>
      <c r="N5" s="194" t="s">
        <v>257</v>
      </c>
    </row>
    <row r="6" spans="2:15" x14ac:dyDescent="0.25">
      <c r="B6" s="11" t="s">
        <v>187</v>
      </c>
      <c r="C6" s="9">
        <f>C16*0.8</f>
        <v>446073.60000000003</v>
      </c>
      <c r="D6" s="10"/>
      <c r="E6" s="13" t="s">
        <v>15</v>
      </c>
      <c r="F6" s="39">
        <f>($H2*$C4-F5)*$C26</f>
        <v>296798.94806107105</v>
      </c>
      <c r="G6" s="39">
        <f t="shared" ref="G6:K6" si="2">($H2*$C4-G5)*$C26</f>
        <v>296798.94806107105</v>
      </c>
      <c r="H6" s="39">
        <f t="shared" si="2"/>
        <v>296798.94806107105</v>
      </c>
      <c r="I6" s="39">
        <f t="shared" si="2"/>
        <v>296798.94806107105</v>
      </c>
      <c r="J6" s="39">
        <f t="shared" si="2"/>
        <v>296798.94806107105</v>
      </c>
      <c r="K6" s="39">
        <f t="shared" si="2"/>
        <v>296798.94806107105</v>
      </c>
      <c r="L6" s="60" t="s">
        <v>194</v>
      </c>
      <c r="M6" s="64" t="s">
        <v>201</v>
      </c>
      <c r="N6" s="194" t="s">
        <v>3</v>
      </c>
    </row>
    <row r="7" spans="2:15" x14ac:dyDescent="0.25">
      <c r="B7" s="11" t="s">
        <v>8</v>
      </c>
      <c r="C7" s="12">
        <v>130000</v>
      </c>
      <c r="D7" s="10"/>
      <c r="F7" s="193"/>
      <c r="G7" s="39"/>
      <c r="H7" s="39"/>
      <c r="I7" s="39"/>
      <c r="J7" s="39"/>
      <c r="K7" s="39"/>
      <c r="L7" s="60"/>
      <c r="M7" s="64"/>
      <c r="N7" s="194"/>
    </row>
    <row r="8" spans="2:15" x14ac:dyDescent="0.25">
      <c r="B8" s="11" t="s">
        <v>9</v>
      </c>
      <c r="C8" s="10">
        <v>70000</v>
      </c>
      <c r="D8" s="14"/>
      <c r="E8" s="15" t="s">
        <v>13</v>
      </c>
      <c r="F8" s="39"/>
      <c r="G8" s="39"/>
      <c r="H8" s="39"/>
      <c r="I8" s="39"/>
      <c r="J8" s="39"/>
      <c r="K8" s="39"/>
      <c r="L8" s="60"/>
      <c r="M8" s="64"/>
      <c r="N8" s="194"/>
    </row>
    <row r="9" spans="2:15" ht="15.75" x14ac:dyDescent="0.25">
      <c r="B9" s="3"/>
      <c r="C9" s="10"/>
      <c r="D9" s="14"/>
      <c r="E9" s="19" t="s">
        <v>17</v>
      </c>
      <c r="F9" s="45">
        <f>F3-F5</f>
        <v>242351.3334351182</v>
      </c>
      <c r="G9" s="45">
        <f t="shared" ref="G9:J9" si="3">G3-G5</f>
        <v>402175.13343511813</v>
      </c>
      <c r="H9" s="45">
        <f>H3-H5</f>
        <v>498069.41343511839</v>
      </c>
      <c r="I9" s="45">
        <f t="shared" si="3"/>
        <v>561998.93343511841</v>
      </c>
      <c r="J9" s="45">
        <f t="shared" si="3"/>
        <v>721822.73343511822</v>
      </c>
      <c r="K9" s="45">
        <f>K3-K5</f>
        <v>881646.53343511827</v>
      </c>
      <c r="L9" s="59" t="s">
        <v>196</v>
      </c>
      <c r="M9" s="64" t="s">
        <v>256</v>
      </c>
      <c r="N9" s="194"/>
    </row>
    <row r="10" spans="2:15" x14ac:dyDescent="0.25">
      <c r="B10" s="3" t="s">
        <v>228</v>
      </c>
      <c r="C10" s="12">
        <f>C16-(66446+55435)</f>
        <v>435711</v>
      </c>
      <c r="D10" s="16"/>
      <c r="E10" s="3"/>
      <c r="F10" s="39"/>
      <c r="G10" s="39"/>
      <c r="H10" s="39"/>
      <c r="I10" s="39"/>
      <c r="J10" s="39"/>
      <c r="K10" s="39"/>
      <c r="L10" s="60"/>
      <c r="M10" s="64"/>
      <c r="N10" s="194"/>
    </row>
    <row r="11" spans="2:15" x14ac:dyDescent="0.25">
      <c r="B11" s="3" t="s">
        <v>238</v>
      </c>
      <c r="C11" s="12">
        <f>6206*C10/C16</f>
        <v>4849.4642426720611</v>
      </c>
      <c r="D11" s="16"/>
      <c r="E11" s="3" t="s">
        <v>16</v>
      </c>
      <c r="F11" s="39"/>
      <c r="G11" s="39"/>
      <c r="H11" s="39"/>
      <c r="I11" s="39"/>
      <c r="J11" s="39"/>
      <c r="K11" s="39"/>
      <c r="L11" s="60"/>
      <c r="M11" s="64"/>
      <c r="N11" s="194"/>
    </row>
    <row r="12" spans="2:15" x14ac:dyDescent="0.25">
      <c r="B12" s="3" t="s">
        <v>18</v>
      </c>
      <c r="C12" s="10">
        <v>186615</v>
      </c>
      <c r="D12" s="16"/>
      <c r="E12" s="13" t="s">
        <v>14</v>
      </c>
      <c r="F12" s="46">
        <f>IF(F9&lt;=F6,F9,F6)</f>
        <v>242351.3334351182</v>
      </c>
      <c r="G12" s="46">
        <f>IF(G9&lt;=G6,G9,G6)</f>
        <v>296798.94806107105</v>
      </c>
      <c r="H12" s="46">
        <f t="shared" ref="H12:J12" si="4">IF(H9&lt;=H6,H9,H6)</f>
        <v>296798.94806107105</v>
      </c>
      <c r="I12" s="46">
        <f t="shared" si="4"/>
        <v>296798.94806107105</v>
      </c>
      <c r="J12" s="46">
        <f t="shared" si="4"/>
        <v>296798.94806107105</v>
      </c>
      <c r="K12" s="46">
        <f>IF(K9&lt;=K6,K9,K6)</f>
        <v>296798.94806107105</v>
      </c>
      <c r="L12" s="62" t="s">
        <v>197</v>
      </c>
      <c r="M12" s="61" t="s">
        <v>262</v>
      </c>
      <c r="N12" s="194"/>
    </row>
    <row r="13" spans="2:15" x14ac:dyDescent="0.25">
      <c r="B13" s="3" t="s">
        <v>19</v>
      </c>
      <c r="C13" s="10">
        <v>123687</v>
      </c>
      <c r="D13" s="42" t="s">
        <v>248</v>
      </c>
      <c r="E13" s="17" t="s">
        <v>180</v>
      </c>
      <c r="F13" s="47">
        <f>$C16</f>
        <v>557592</v>
      </c>
      <c r="G13" s="47">
        <f t="shared" ref="G13:K13" si="5">$C16</f>
        <v>557592</v>
      </c>
      <c r="H13" s="47">
        <f t="shared" si="5"/>
        <v>557592</v>
      </c>
      <c r="I13" s="47">
        <f t="shared" si="5"/>
        <v>557592</v>
      </c>
      <c r="J13" s="47">
        <f t="shared" si="5"/>
        <v>557592</v>
      </c>
      <c r="K13" s="47">
        <f t="shared" si="5"/>
        <v>557592</v>
      </c>
      <c r="L13" s="61"/>
      <c r="M13" s="61"/>
      <c r="N13" s="194" t="s">
        <v>259</v>
      </c>
    </row>
    <row r="14" spans="2:15" x14ac:dyDescent="0.25">
      <c r="B14" s="3" t="s">
        <v>86</v>
      </c>
      <c r="C14" s="10">
        <v>458318.99678509816</v>
      </c>
      <c r="D14" s="7"/>
      <c r="E14" s="38" t="s">
        <v>188</v>
      </c>
      <c r="F14" s="51">
        <f t="shared" ref="F14:J14" si="6">$C6-$C17</f>
        <v>55612.600000000035</v>
      </c>
      <c r="G14" s="51">
        <f t="shared" si="6"/>
        <v>55612.600000000035</v>
      </c>
      <c r="H14" s="51">
        <f t="shared" si="6"/>
        <v>55612.600000000035</v>
      </c>
      <c r="I14" s="51">
        <f t="shared" si="6"/>
        <v>55612.600000000035</v>
      </c>
      <c r="J14" s="51">
        <f t="shared" si="6"/>
        <v>55612.600000000035</v>
      </c>
      <c r="K14" s="51">
        <f>$C6-$C17</f>
        <v>55612.600000000035</v>
      </c>
      <c r="L14" s="62" t="s">
        <v>198</v>
      </c>
      <c r="M14" s="61"/>
      <c r="N14" s="194" t="s">
        <v>260</v>
      </c>
    </row>
    <row r="15" spans="2:15" x14ac:dyDescent="0.25">
      <c r="B15" s="3" t="s">
        <v>87</v>
      </c>
      <c r="C15" s="10">
        <v>260878.58169160236</v>
      </c>
      <c r="D15" s="7"/>
      <c r="E15" s="17" t="s">
        <v>179</v>
      </c>
      <c r="F15" s="57">
        <v>279222</v>
      </c>
      <c r="G15" s="57">
        <v>279222</v>
      </c>
      <c r="H15" s="57">
        <v>279222</v>
      </c>
      <c r="I15" s="57">
        <v>279222</v>
      </c>
      <c r="J15" s="57">
        <v>279222</v>
      </c>
      <c r="K15" s="57">
        <v>279222</v>
      </c>
      <c r="L15" s="60" t="s">
        <v>200</v>
      </c>
      <c r="M15" s="61"/>
      <c r="N15" s="194"/>
    </row>
    <row r="16" spans="2:15" x14ac:dyDescent="0.25">
      <c r="B16" s="3" t="s">
        <v>181</v>
      </c>
      <c r="C16" s="10">
        <v>557592</v>
      </c>
      <c r="D16" s="7"/>
      <c r="E16" s="17" t="s">
        <v>185</v>
      </c>
      <c r="F16" s="49">
        <f t="shared" ref="F16:K16" si="7">F15*$C$27</f>
        <v>180035.5250552856</v>
      </c>
      <c r="G16" s="49">
        <f t="shared" si="7"/>
        <v>180035.5250552856</v>
      </c>
      <c r="H16" s="49">
        <f t="shared" si="7"/>
        <v>180035.5250552856</v>
      </c>
      <c r="I16" s="49">
        <f t="shared" si="7"/>
        <v>180035.5250552856</v>
      </c>
      <c r="J16" s="49">
        <f t="shared" si="7"/>
        <v>180035.5250552856</v>
      </c>
      <c r="K16" s="49">
        <f t="shared" si="7"/>
        <v>180035.5250552856</v>
      </c>
      <c r="L16" s="62" t="s">
        <v>202</v>
      </c>
      <c r="M16" s="64" t="s">
        <v>209</v>
      </c>
      <c r="N16" s="194"/>
    </row>
    <row r="17" spans="2:14" x14ac:dyDescent="0.25">
      <c r="B17" s="3" t="s">
        <v>184</v>
      </c>
      <c r="C17" s="10">
        <v>390461</v>
      </c>
      <c r="D17" s="42" t="s">
        <v>178</v>
      </c>
      <c r="E17" s="43" t="s">
        <v>186</v>
      </c>
      <c r="F17" s="50">
        <f>(F15-F16)*$C$26</f>
        <v>59511.884966828635</v>
      </c>
      <c r="G17" s="50">
        <f t="shared" ref="G17:K17" si="8">(G15-G16)*$C$26</f>
        <v>59511.884966828635</v>
      </c>
      <c r="H17" s="50">
        <f t="shared" si="8"/>
        <v>59511.884966828635</v>
      </c>
      <c r="I17" s="50">
        <f t="shared" si="8"/>
        <v>59511.884966828635</v>
      </c>
      <c r="J17" s="50">
        <f t="shared" si="8"/>
        <v>59511.884966828635</v>
      </c>
      <c r="K17" s="50">
        <f t="shared" si="8"/>
        <v>59511.884966828635</v>
      </c>
      <c r="L17" s="62" t="s">
        <v>203</v>
      </c>
      <c r="M17" s="64" t="s">
        <v>210</v>
      </c>
      <c r="N17" s="194" t="s">
        <v>176</v>
      </c>
    </row>
    <row r="18" spans="2:14" x14ac:dyDescent="0.25">
      <c r="B18" s="3" t="s">
        <v>182</v>
      </c>
      <c r="C18" s="10">
        <v>257161</v>
      </c>
      <c r="D18" s="42" t="s">
        <v>190</v>
      </c>
      <c r="E18" s="72" t="s">
        <v>243</v>
      </c>
      <c r="F18" s="51">
        <f t="shared" ref="F18:K18" si="9">($C7*$C12)/($C12+$C13)</f>
        <v>78181.739079993044</v>
      </c>
      <c r="G18" s="51">
        <f t="shared" si="9"/>
        <v>78181.739079993044</v>
      </c>
      <c r="H18" s="51">
        <f t="shared" si="9"/>
        <v>78181.739079993044</v>
      </c>
      <c r="I18" s="51">
        <f t="shared" si="9"/>
        <v>78181.739079993044</v>
      </c>
      <c r="J18" s="51">
        <f t="shared" si="9"/>
        <v>78181.739079993044</v>
      </c>
      <c r="K18" s="51">
        <f t="shared" si="9"/>
        <v>78181.739079993044</v>
      </c>
      <c r="L18" s="60" t="s">
        <v>204</v>
      </c>
      <c r="M18" s="61"/>
      <c r="N18" s="194" t="s">
        <v>261</v>
      </c>
    </row>
    <row r="19" spans="2:14" x14ac:dyDescent="0.25">
      <c r="B19" s="36" t="s">
        <v>177</v>
      </c>
      <c r="C19" s="12">
        <v>74392</v>
      </c>
      <c r="D19" s="42" t="s">
        <v>189</v>
      </c>
      <c r="E19" s="72" t="s">
        <v>244</v>
      </c>
      <c r="F19" s="51">
        <f t="shared" ref="F19:K19" si="10">$C7-F18</f>
        <v>51818.260920006956</v>
      </c>
      <c r="G19" s="51">
        <f t="shared" si="10"/>
        <v>51818.260920006956</v>
      </c>
      <c r="H19" s="51">
        <f t="shared" si="10"/>
        <v>51818.260920006956</v>
      </c>
      <c r="I19" s="51">
        <f t="shared" si="10"/>
        <v>51818.260920006956</v>
      </c>
      <c r="J19" s="51">
        <f t="shared" si="10"/>
        <v>51818.260920006956</v>
      </c>
      <c r="K19" s="51">
        <f t="shared" si="10"/>
        <v>51818.260920006956</v>
      </c>
      <c r="L19" s="65" t="s">
        <v>205</v>
      </c>
      <c r="M19" s="61" t="s">
        <v>211</v>
      </c>
      <c r="N19" s="194"/>
    </row>
    <row r="20" spans="2:14" x14ac:dyDescent="0.25">
      <c r="B20" s="3" t="s">
        <v>234</v>
      </c>
      <c r="C20" s="12">
        <v>35246</v>
      </c>
      <c r="E20" s="54" t="s">
        <v>85</v>
      </c>
      <c r="F20" s="50">
        <f>IF((F25+F17+F18+F19+F14)&lt;F12,F12-(F25+F17+F18+F19+F14),0.001)</f>
        <v>1E-3</v>
      </c>
      <c r="G20" s="50">
        <f t="shared" ref="G20:K20" si="11">IF((G25+G17+G18+G19+G14)&lt;G12,G12-(G25+G17+G18+G19+G14),0.001)</f>
        <v>42488.463094242383</v>
      </c>
      <c r="H20" s="50">
        <f t="shared" si="11"/>
        <v>42488.463094242383</v>
      </c>
      <c r="I20" s="50">
        <f t="shared" si="11"/>
        <v>42488.463094242383</v>
      </c>
      <c r="J20" s="50">
        <f t="shared" si="11"/>
        <v>42488.463094242383</v>
      </c>
      <c r="K20" s="50">
        <f t="shared" si="11"/>
        <v>42488.463094242383</v>
      </c>
      <c r="L20" s="65" t="s">
        <v>206</v>
      </c>
      <c r="M20" s="64" t="s">
        <v>212</v>
      </c>
      <c r="N20" s="194"/>
    </row>
    <row r="21" spans="2:14" x14ac:dyDescent="0.25">
      <c r="B21" s="3" t="s">
        <v>245</v>
      </c>
      <c r="C21" s="12">
        <v>700000</v>
      </c>
      <c r="D21" s="42" t="s">
        <v>246</v>
      </c>
      <c r="E21" s="17" t="s">
        <v>89</v>
      </c>
      <c r="F21" s="55">
        <f>'Priority habitats outside SSSIs'!$F3*F$20/SUM('Priority habitats outside SSSIs'!$F$3:$F$6)</f>
        <v>1.7678341940875243E-4</v>
      </c>
      <c r="G21" s="55">
        <f>'Priority habitats outside SSSIs'!$F3*G$20/SUM('Priority habitats outside SSSIs'!$F$3:$F$6)</f>
        <v>7511.2557912227494</v>
      </c>
      <c r="H21" s="55">
        <f>'Priority habitats outside SSSIs'!$F3*H$20/SUM('Priority habitats outside SSSIs'!$F$3:$F$6)</f>
        <v>7511.2557912227494</v>
      </c>
      <c r="I21" s="55">
        <f>'Priority habitats outside SSSIs'!$F3*I$20/SUM('Priority habitats outside SSSIs'!$F$3:$F$6)</f>
        <v>7511.2557912227494</v>
      </c>
      <c r="J21" s="55">
        <f>'Priority habitats outside SSSIs'!$F3*J$20/SUM('Priority habitats outside SSSIs'!$F$3:$F$6)</f>
        <v>7511.2557912227494</v>
      </c>
      <c r="K21" s="55">
        <f>'Priority habitats outside SSSIs'!$F3*K$20/SUM('Priority habitats outside SSSIs'!$F$3:$F$6)</f>
        <v>7511.2557912227494</v>
      </c>
      <c r="L21" s="61"/>
      <c r="M21" s="61"/>
      <c r="N21" s="196" t="s">
        <v>217</v>
      </c>
    </row>
    <row r="22" spans="2:14" x14ac:dyDescent="0.25">
      <c r="E22" s="17" t="s">
        <v>91</v>
      </c>
      <c r="F22" s="55">
        <f>'Priority habitats outside SSSIs'!$F4*F$20/SUM('Priority habitats outside SSSIs'!$F$3:$F$6)</f>
        <v>7.766337420006589E-5</v>
      </c>
      <c r="G22" s="55">
        <f>'Priority habitats outside SSSIs'!$F4*G$20/SUM('Priority habitats outside SSSIs'!$F$3:$F$6)</f>
        <v>3299.7974084738357</v>
      </c>
      <c r="H22" s="55">
        <f>'Priority habitats outside SSSIs'!$F4*H$20/SUM('Priority habitats outside SSSIs'!$F$3:$F$6)</f>
        <v>3299.7974084738357</v>
      </c>
      <c r="I22" s="55">
        <f>'Priority habitats outside SSSIs'!$F4*I$20/SUM('Priority habitats outside SSSIs'!$F$3:$F$6)</f>
        <v>3299.7974084738357</v>
      </c>
      <c r="J22" s="55">
        <f>'Priority habitats outside SSSIs'!$F4*J$20/SUM('Priority habitats outside SSSIs'!$F$3:$F$6)</f>
        <v>3299.7974084738357</v>
      </c>
      <c r="K22" s="55">
        <f>'Priority habitats outside SSSIs'!$F4*K$20/SUM('Priority habitats outside SSSIs'!$F$3:$F$6)</f>
        <v>3299.7974084738357</v>
      </c>
      <c r="L22" s="61"/>
      <c r="M22" s="61"/>
      <c r="N22" s="196"/>
    </row>
    <row r="23" spans="2:14" x14ac:dyDescent="0.25">
      <c r="E23" s="17" t="s">
        <v>88</v>
      </c>
      <c r="F23" s="55">
        <f>'Priority habitats outside SSSIs'!$F5*F$20/SUM('Priority habitats outside SSSIs'!$F$3:$F$6)</f>
        <v>6.1405985787191882E-4</v>
      </c>
      <c r="G23" s="55">
        <f>'Priority habitats outside SSSIs'!$F5*G$20/SUM('Priority habitats outside SSSIs'!$F$3:$F$6)</f>
        <v>26090.459608846748</v>
      </c>
      <c r="H23" s="55">
        <f>'Priority habitats outside SSSIs'!$F5*H$20/SUM('Priority habitats outside SSSIs'!$F$3:$F$6)</f>
        <v>26090.459608846748</v>
      </c>
      <c r="I23" s="55">
        <f>'Priority habitats outside SSSIs'!$F5*I$20/SUM('Priority habitats outside SSSIs'!$F$3:$F$6)</f>
        <v>26090.459608846748</v>
      </c>
      <c r="J23" s="55">
        <f>'Priority habitats outside SSSIs'!$F5*J$20/SUM('Priority habitats outside SSSIs'!$F$3:$F$6)</f>
        <v>26090.459608846748</v>
      </c>
      <c r="K23" s="55">
        <f>'Priority habitats outside SSSIs'!$F5*K$20/SUM('Priority habitats outside SSSIs'!$F$3:$F$6)</f>
        <v>26090.459608846748</v>
      </c>
      <c r="L23" s="61"/>
      <c r="M23" s="61"/>
      <c r="N23" s="196"/>
    </row>
    <row r="24" spans="2:14" x14ac:dyDescent="0.25">
      <c r="C24" s="14" t="s">
        <v>4</v>
      </c>
      <c r="E24" s="17" t="s">
        <v>90</v>
      </c>
      <c r="F24" s="55">
        <f>'Priority habitats outside SSSIs'!$F6*F$20/SUM('Priority habitats outside SSSIs'!$F$3:$F$6)</f>
        <v>1.3149334851926279E-4</v>
      </c>
      <c r="G24" s="55">
        <f>'Priority habitats outside SSSIs'!$F6*G$20/SUM('Priority habitats outside SSSIs'!$F$3:$F$6)</f>
        <v>5586.9502856990484</v>
      </c>
      <c r="H24" s="55">
        <f>'Priority habitats outside SSSIs'!$F6*H$20/SUM('Priority habitats outside SSSIs'!$F$3:$F$6)</f>
        <v>5586.9502856990484</v>
      </c>
      <c r="I24" s="55">
        <f>'Priority habitats outside SSSIs'!$F6*I$20/SUM('Priority habitats outside SSSIs'!$F$3:$F$6)</f>
        <v>5586.9502856990484</v>
      </c>
      <c r="J24" s="55">
        <f>'Priority habitats outside SSSIs'!$F6*J$20/SUM('Priority habitats outside SSSIs'!$F$3:$F$6)</f>
        <v>5586.9502856990484</v>
      </c>
      <c r="K24" s="55">
        <f>'Priority habitats outside SSSIs'!$F6*K$20/SUM('Priority habitats outside SSSIs'!$F$3:$F$6)</f>
        <v>5586.9502856990484</v>
      </c>
      <c r="L24" s="61"/>
      <c r="M24" s="61"/>
      <c r="N24" s="196"/>
    </row>
    <row r="25" spans="2:14" x14ac:dyDescent="0.25">
      <c r="B25" s="3" t="s">
        <v>5</v>
      </c>
      <c r="C25" s="41">
        <f>SUM(C17:C19)/H3</f>
        <v>0.59275471732067442</v>
      </c>
      <c r="E25" s="18" t="s">
        <v>95</v>
      </c>
      <c r="F25" s="51">
        <f>$C26*'Priority habitats outside SSSIs'!$P8</f>
        <v>9186</v>
      </c>
      <c r="G25" s="51">
        <f>$C26*'Priority habitats outside SSSIs'!$P8</f>
        <v>9186</v>
      </c>
      <c r="H25" s="51">
        <f>$C26*'Priority habitats outside SSSIs'!$P8</f>
        <v>9186</v>
      </c>
      <c r="I25" s="51">
        <f>$C26*'Priority habitats outside SSSIs'!$P8</f>
        <v>9186</v>
      </c>
      <c r="J25" s="51">
        <f>$C26*'Priority habitats outside SSSIs'!$P8</f>
        <v>9186</v>
      </c>
      <c r="K25" s="51">
        <f>$C26*'Priority habitats outside SSSIs'!$P8</f>
        <v>9186</v>
      </c>
      <c r="L25" s="62" t="s">
        <v>207</v>
      </c>
      <c r="M25" s="195"/>
      <c r="N25" s="194" t="s">
        <v>98</v>
      </c>
    </row>
    <row r="26" spans="2:14" x14ac:dyDescent="0.25">
      <c r="B26" s="3" t="s">
        <v>263</v>
      </c>
      <c r="C26" s="41">
        <v>0.6</v>
      </c>
      <c r="F26" s="39"/>
      <c r="G26" s="39"/>
      <c r="H26" s="39"/>
      <c r="I26" s="39"/>
      <c r="J26" s="39"/>
      <c r="K26" s="39"/>
      <c r="L26" s="60"/>
      <c r="M26" s="64"/>
      <c r="N26" s="194"/>
    </row>
    <row r="27" spans="2:14" x14ac:dyDescent="0.25">
      <c r="B27" s="3" t="s">
        <v>183</v>
      </c>
      <c r="C27" s="41">
        <f>C18/398838</f>
        <v>0.64477557303968025</v>
      </c>
      <c r="F27" s="39"/>
      <c r="G27" s="193">
        <f>G28/$C4</f>
        <v>3.2966362135691644E-2</v>
      </c>
      <c r="H27" s="193">
        <f t="shared" ref="H27:K27" si="12">H28/$C4</f>
        <v>6.296636213569172E-2</v>
      </c>
      <c r="I27" s="193">
        <f t="shared" si="12"/>
        <v>8.2966362135691737E-2</v>
      </c>
      <c r="J27" s="193">
        <f t="shared" si="12"/>
        <v>0.13296636213569171</v>
      </c>
      <c r="K27" s="193">
        <f t="shared" si="12"/>
        <v>0.1829663621356917</v>
      </c>
      <c r="L27" s="60"/>
      <c r="M27" s="64"/>
      <c r="N27" s="194"/>
    </row>
    <row r="28" spans="2:14" ht="15.75" x14ac:dyDescent="0.25">
      <c r="E28" s="19" t="s">
        <v>6</v>
      </c>
      <c r="F28" s="44">
        <f t="shared" ref="F28:K28" si="13">F9-F14-F17-F18-F19-F20-F25</f>
        <v>-11959.152531710464</v>
      </c>
      <c r="G28" s="44">
        <f t="shared" si="13"/>
        <v>105376.18537404708</v>
      </c>
      <c r="H28" s="44">
        <f t="shared" si="13"/>
        <v>201270.46537404734</v>
      </c>
      <c r="I28" s="44">
        <f t="shared" si="13"/>
        <v>265199.98537404736</v>
      </c>
      <c r="J28" s="44">
        <f t="shared" si="13"/>
        <v>425023.78537404729</v>
      </c>
      <c r="K28" s="44">
        <f t="shared" si="13"/>
        <v>584847.58537404728</v>
      </c>
      <c r="L28" s="63" t="s">
        <v>199</v>
      </c>
      <c r="M28" s="61" t="s">
        <v>213</v>
      </c>
      <c r="N28" s="194" t="s">
        <v>218</v>
      </c>
    </row>
    <row r="29" spans="2:14" x14ac:dyDescent="0.25">
      <c r="E29" s="20" t="s">
        <v>242</v>
      </c>
      <c r="F29" s="51">
        <f t="shared" ref="F29:K29" si="14">$C8</f>
        <v>70000</v>
      </c>
      <c r="G29" s="51">
        <f t="shared" si="14"/>
        <v>70000</v>
      </c>
      <c r="H29" s="51">
        <f t="shared" si="14"/>
        <v>70000</v>
      </c>
      <c r="I29" s="51">
        <f t="shared" si="14"/>
        <v>70000</v>
      </c>
      <c r="J29" s="51">
        <f t="shared" si="14"/>
        <v>70000</v>
      </c>
      <c r="K29" s="51">
        <f t="shared" si="14"/>
        <v>70000</v>
      </c>
      <c r="L29" s="62" t="s">
        <v>208</v>
      </c>
      <c r="M29" s="61" t="s">
        <v>216</v>
      </c>
      <c r="N29" s="194" t="s">
        <v>99</v>
      </c>
    </row>
    <row r="30" spans="2:14" x14ac:dyDescent="0.25">
      <c r="E30" s="20" t="s">
        <v>241</v>
      </c>
      <c r="F30" s="50">
        <f t="shared" ref="F30:K30" si="15">$C5-$C8-F19</f>
        <v>128181.73907999304</v>
      </c>
      <c r="G30" s="50">
        <f t="shared" si="15"/>
        <v>128181.73907999304</v>
      </c>
      <c r="H30" s="50">
        <f t="shared" si="15"/>
        <v>128181.73907999304</v>
      </c>
      <c r="I30" s="50">
        <f t="shared" si="15"/>
        <v>128181.73907999304</v>
      </c>
      <c r="J30" s="50">
        <f t="shared" si="15"/>
        <v>128181.73907999304</v>
      </c>
      <c r="K30" s="50">
        <f t="shared" si="15"/>
        <v>128181.73907999304</v>
      </c>
      <c r="L30" s="60" t="s">
        <v>214</v>
      </c>
      <c r="M30" s="64" t="s">
        <v>219</v>
      </c>
      <c r="N30" s="194" t="s">
        <v>100</v>
      </c>
    </row>
    <row r="31" spans="2:14" x14ac:dyDescent="0.25">
      <c r="E31" s="40" t="s">
        <v>85</v>
      </c>
      <c r="F31" s="52">
        <f>IF((F30+F29)&gt;=F28,0,(F28-F29-F30))</f>
        <v>0</v>
      </c>
      <c r="G31" s="48">
        <f>IF((G30+G29)&gt;=G28,0,(G28-G29-G30))</f>
        <v>0</v>
      </c>
      <c r="H31" s="48">
        <f t="shared" ref="H31:J31" si="16">IF((H30+H29)&gt;=H28,0,(H28-H29-H30))</f>
        <v>3088.7262940543005</v>
      </c>
      <c r="I31" s="48">
        <f t="shared" si="16"/>
        <v>67018.246294054319</v>
      </c>
      <c r="J31" s="48">
        <f t="shared" si="16"/>
        <v>226842.04629405425</v>
      </c>
      <c r="K31" s="48">
        <f>IF((K30+K29)&gt;=K28,0,(K28-K29-K30))</f>
        <v>386665.84629405424</v>
      </c>
      <c r="L31" s="62" t="s">
        <v>215</v>
      </c>
      <c r="M31" s="61" t="s">
        <v>220</v>
      </c>
      <c r="N31" s="194"/>
    </row>
    <row r="32" spans="2:14" x14ac:dyDescent="0.25">
      <c r="E32" s="17" t="s">
        <v>96</v>
      </c>
      <c r="F32" s="56">
        <f t="shared" ref="F32:K32" si="17">F31/$C26</f>
        <v>0</v>
      </c>
      <c r="G32" s="56">
        <f t="shared" si="17"/>
        <v>0</v>
      </c>
      <c r="H32" s="56">
        <f t="shared" si="17"/>
        <v>5147.8771567571675</v>
      </c>
      <c r="I32" s="56">
        <f t="shared" si="17"/>
        <v>111697.07715675721</v>
      </c>
      <c r="J32" s="56">
        <f t="shared" si="17"/>
        <v>378070.07715675712</v>
      </c>
      <c r="K32" s="56">
        <f t="shared" si="17"/>
        <v>644443.07715675712</v>
      </c>
      <c r="L32" s="64"/>
      <c r="M32" s="64"/>
      <c r="N32" s="194" t="s">
        <v>176</v>
      </c>
    </row>
    <row r="33" spans="5:14" x14ac:dyDescent="0.25">
      <c r="E33" s="17" t="s">
        <v>89</v>
      </c>
      <c r="F33" s="53">
        <f t="shared" ref="F33:H33" si="18">F21*F$31/SUM(F$21:F$24)</f>
        <v>0</v>
      </c>
      <c r="G33" s="53">
        <f t="shared" si="18"/>
        <v>0</v>
      </c>
      <c r="H33" s="53">
        <f t="shared" si="18"/>
        <v>546.03559588064297</v>
      </c>
      <c r="I33" s="53">
        <f>I21*I$31/SUM(I$21:I$24)</f>
        <v>11847.714742640872</v>
      </c>
      <c r="J33" s="53">
        <f>$C20*$C26</f>
        <v>21147.599999999999</v>
      </c>
      <c r="K33" s="53">
        <f>$C20*$C26</f>
        <v>21147.599999999999</v>
      </c>
      <c r="L33" s="64"/>
      <c r="M33" s="64"/>
      <c r="N33" s="194" t="s">
        <v>97</v>
      </c>
    </row>
    <row r="34" spans="5:14" x14ac:dyDescent="0.25">
      <c r="E34" s="17" t="s">
        <v>91</v>
      </c>
      <c r="F34" s="53">
        <f t="shared" ref="F34:G36" si="19">F22*F$31/SUM(F$21:F$24)</f>
        <v>0</v>
      </c>
      <c r="G34" s="53">
        <f t="shared" si="19"/>
        <v>0</v>
      </c>
      <c r="H34" s="53">
        <f t="shared" ref="H34:I34" si="20">H22*H$31/SUM(H$21:H$24)</f>
        <v>239.88090597672192</v>
      </c>
      <c r="I34" s="53">
        <f t="shared" si="20"/>
        <v>5204.8631401673201</v>
      </c>
      <c r="J34" s="53">
        <f>J22*(J$31-J$33)/SUM(J$22:J$24)</f>
        <v>19405.494410641048</v>
      </c>
      <c r="K34" s="53">
        <f>K22*(K$31-K$33)/SUM(K$22:K$24)</f>
        <v>34483.489531392464</v>
      </c>
      <c r="L34" s="64"/>
      <c r="M34" s="64"/>
    </row>
    <row r="35" spans="5:14" x14ac:dyDescent="0.25">
      <c r="E35" s="17" t="s">
        <v>88</v>
      </c>
      <c r="F35" s="53">
        <f t="shared" si="19"/>
        <v>0</v>
      </c>
      <c r="G35" s="53">
        <f t="shared" si="19"/>
        <v>0</v>
      </c>
      <c r="H35" s="53">
        <f t="shared" ref="H35:I35" si="21">H23*H$31/SUM(H$21:H$24)</f>
        <v>1896.6628291322425</v>
      </c>
      <c r="I35" s="53">
        <f t="shared" si="21"/>
        <v>41153.214794152249</v>
      </c>
      <c r="J35" s="53">
        <f t="shared" ref="J35:K36" si="22">J23*(J$31-J$33)/SUM(J$22:J$24)</f>
        <v>153433.13707998086</v>
      </c>
      <c r="K35" s="53">
        <f t="shared" si="22"/>
        <v>272650.09920927038</v>
      </c>
      <c r="L35" s="64"/>
      <c r="M35" s="64"/>
    </row>
    <row r="36" spans="5:14" x14ac:dyDescent="0.25">
      <c r="E36" s="17" t="s">
        <v>90</v>
      </c>
      <c r="F36" s="53">
        <f t="shared" si="19"/>
        <v>0</v>
      </c>
      <c r="G36" s="53">
        <f t="shared" si="19"/>
        <v>0</v>
      </c>
      <c r="H36" s="53">
        <f t="shared" ref="H36:I36" si="23">H24*H$31/SUM(H$21:H$24)</f>
        <v>406.14696306469307</v>
      </c>
      <c r="I36" s="53">
        <f t="shared" si="23"/>
        <v>8812.4536170938773</v>
      </c>
      <c r="J36" s="53">
        <f t="shared" si="22"/>
        <v>32855.814803432331</v>
      </c>
      <c r="K36" s="53">
        <f t="shared" si="22"/>
        <v>58384.657553391393</v>
      </c>
      <c r="L36" s="64"/>
      <c r="M36" s="64"/>
    </row>
    <row r="37" spans="5:14" x14ac:dyDescent="0.25">
      <c r="F37" s="39"/>
      <c r="G37" s="39"/>
      <c r="H37" s="39"/>
      <c r="I37" s="39"/>
      <c r="J37" s="39"/>
      <c r="K37" s="39"/>
      <c r="L37" s="60"/>
      <c r="M37" s="60"/>
    </row>
    <row r="38" spans="5:14" x14ac:dyDescent="0.25">
      <c r="F38" s="9"/>
      <c r="G38" s="9"/>
    </row>
  </sheetData>
  <mergeCells count="1">
    <mergeCell ref="N21:N24"/>
  </mergeCells>
  <phoneticPr fontId="12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881C-904B-439A-AC28-0D06F11E380B}">
  <dimension ref="B2:O46"/>
  <sheetViews>
    <sheetView topLeftCell="E19" workbookViewId="0">
      <selection activeCell="M46" sqref="M46"/>
    </sheetView>
  </sheetViews>
  <sheetFormatPr defaultColWidth="9.140625" defaultRowHeight="15" x14ac:dyDescent="0.25"/>
  <cols>
    <col min="1" max="1" width="9.140625" style="23"/>
    <col min="2" max="2" width="20.42578125" style="23" customWidth="1"/>
    <col min="3" max="3" width="25" style="23" customWidth="1"/>
    <col min="4" max="4" width="11.28515625" style="23" bestFit="1" customWidth="1"/>
    <col min="5" max="5" width="73.5703125" style="23" customWidth="1"/>
    <col min="6" max="6" width="16.5703125" style="23" customWidth="1"/>
    <col min="7" max="7" width="23.28515625" style="23" customWidth="1"/>
    <col min="8" max="8" width="24.42578125" style="23" customWidth="1"/>
    <col min="9" max="9" width="20.42578125" style="23" customWidth="1"/>
    <col min="10" max="14" width="20.140625" style="23" customWidth="1"/>
    <col min="15" max="15" width="45.140625" style="23" customWidth="1"/>
    <col min="16" max="16384" width="9.140625" style="23"/>
  </cols>
  <sheetData>
    <row r="2" spans="2:15" x14ac:dyDescent="0.25">
      <c r="D2" s="2" t="s">
        <v>101</v>
      </c>
      <c r="I2" s="4">
        <v>0.3</v>
      </c>
      <c r="J2" s="4">
        <v>0.35</v>
      </c>
      <c r="K2" s="5">
        <v>0.38</v>
      </c>
      <c r="L2" s="4">
        <v>0.4</v>
      </c>
      <c r="M2" s="4">
        <v>0.45</v>
      </c>
      <c r="N2" s="4">
        <v>0.5</v>
      </c>
      <c r="O2" s="2" t="s">
        <v>10</v>
      </c>
    </row>
    <row r="3" spans="2:15" ht="15" customHeight="1" x14ac:dyDescent="0.25">
      <c r="B3" s="3" t="s">
        <v>102</v>
      </c>
      <c r="C3" s="23" t="s">
        <v>103</v>
      </c>
      <c r="D3" s="24">
        <v>5000</v>
      </c>
      <c r="E3" s="3" t="s">
        <v>171</v>
      </c>
      <c r="F3" s="200" t="s">
        <v>112</v>
      </c>
      <c r="G3" s="197" t="s">
        <v>104</v>
      </c>
      <c r="H3" s="23" t="s">
        <v>106</v>
      </c>
      <c r="I3" s="24">
        <f>'Area calculations'!F16*'Costings - delivery data'!$D5*5</f>
        <v>360071050.11057127</v>
      </c>
      <c r="J3" s="24">
        <f>'Area calculations'!G16*'Costings - delivery data'!$D5*5</f>
        <v>360071050.11057127</v>
      </c>
      <c r="K3" s="24">
        <f>'Area calculations'!H16*'Costings - delivery data'!$D5*5</f>
        <v>360071050.11057127</v>
      </c>
      <c r="L3" s="24">
        <f>'Area calculations'!I16*'Costings - delivery data'!$D5*5</f>
        <v>360071050.11057127</v>
      </c>
      <c r="M3" s="24">
        <f>'Area calculations'!J16*'Costings - delivery data'!$D5*5</f>
        <v>360071050.11057127</v>
      </c>
      <c r="N3" s="24">
        <f>'Area calculations'!K16*'Costings - delivery data'!$D5*5</f>
        <v>360071050.11057127</v>
      </c>
    </row>
    <row r="4" spans="2:15" x14ac:dyDescent="0.25">
      <c r="B4" s="197" t="s">
        <v>104</v>
      </c>
      <c r="C4" s="23" t="s">
        <v>105</v>
      </c>
      <c r="D4" s="24">
        <v>9664</v>
      </c>
      <c r="F4" s="200"/>
      <c r="G4" s="197"/>
      <c r="H4" s="23" t="s">
        <v>116</v>
      </c>
      <c r="I4" s="24">
        <f>'Area calculations'!F17*'Costings - delivery data'!$D5*5/2</f>
        <v>59511884.966828637</v>
      </c>
      <c r="J4" s="24">
        <f>'Area calculations'!G17*'Costings - delivery data'!$D5*5/2</f>
        <v>59511884.966828637</v>
      </c>
      <c r="K4" s="24">
        <f>'Area calculations'!H17*'Costings - delivery data'!$D5*5/2</f>
        <v>59511884.966828637</v>
      </c>
      <c r="L4" s="24">
        <f>'Area calculations'!I17*'Costings - delivery data'!$D5*5/2</f>
        <v>59511884.966828637</v>
      </c>
      <c r="M4" s="24">
        <f>'Area calculations'!J17*'Costings - delivery data'!$D5*5/2</f>
        <v>59511884.966828637</v>
      </c>
      <c r="N4" s="24">
        <f>'Area calculations'!K17*'Costings - delivery data'!$D5*5/2</f>
        <v>59511884.966828637</v>
      </c>
    </row>
    <row r="5" spans="2:15" x14ac:dyDescent="0.25">
      <c r="B5" s="197"/>
      <c r="C5" s="23" t="s">
        <v>106</v>
      </c>
      <c r="D5" s="24">
        <v>400</v>
      </c>
      <c r="F5" s="200"/>
      <c r="G5" s="197" t="s">
        <v>102</v>
      </c>
      <c r="H5" s="23" t="s">
        <v>103</v>
      </c>
      <c r="I5" s="24">
        <f>'Area calculations'!$C7*'Costings - delivery data'!$D3*5/2</f>
        <v>1625000000</v>
      </c>
      <c r="J5" s="24">
        <f>'Area calculations'!$C7*'Costings - delivery data'!$D3*5/2</f>
        <v>1625000000</v>
      </c>
      <c r="K5" s="24">
        <f>'Area calculations'!$C7*'Costings - delivery data'!$D3*5/2</f>
        <v>1625000000</v>
      </c>
      <c r="L5" s="24">
        <f>'Area calculations'!$C7*'Costings - delivery data'!$D3*5/2</f>
        <v>1625000000</v>
      </c>
      <c r="M5" s="24">
        <f>'Area calculations'!$C7*'Costings - delivery data'!$D3*5/2</f>
        <v>1625000000</v>
      </c>
      <c r="N5" s="24">
        <f>'Area calculations'!$C7*'Costings - delivery data'!$D3*5/2</f>
        <v>1625000000</v>
      </c>
    </row>
    <row r="6" spans="2:15" x14ac:dyDescent="0.25">
      <c r="B6" s="197" t="s">
        <v>107</v>
      </c>
      <c r="C6" s="23" t="s">
        <v>108</v>
      </c>
      <c r="D6" s="24">
        <f>'Costings - Gov numbers'!D6</f>
        <v>655.47500000000002</v>
      </c>
      <c r="E6" s="33" t="s">
        <v>175</v>
      </c>
      <c r="F6" s="200"/>
      <c r="G6" s="197"/>
      <c r="H6" s="23" t="s">
        <v>111</v>
      </c>
      <c r="I6" s="24">
        <f>'Area calculations'!$C7*'Costings - delivery data'!$D22*5</f>
        <v>164450000</v>
      </c>
      <c r="J6" s="24">
        <f>'Area calculations'!$C7*'Costings - delivery data'!$D22*5</f>
        <v>164450000</v>
      </c>
      <c r="K6" s="24">
        <f>'Area calculations'!$C7*'Costings - delivery data'!$D22*5</f>
        <v>164450000</v>
      </c>
      <c r="L6" s="24">
        <f>'Area calculations'!$C7*'Costings - delivery data'!$D22*5</f>
        <v>164450000</v>
      </c>
      <c r="M6" s="24">
        <f>'Area calculations'!$C7*'Costings - delivery data'!$D22*5</f>
        <v>164450000</v>
      </c>
      <c r="N6" s="24">
        <f>'Area calculations'!$C7*'Costings - delivery data'!$D22*5</f>
        <v>164450000</v>
      </c>
    </row>
    <row r="7" spans="2:15" x14ac:dyDescent="0.25">
      <c r="B7" s="197"/>
      <c r="C7" s="23" t="s">
        <v>106</v>
      </c>
      <c r="D7" s="24">
        <f>'Costings - Gov numbers'!D7</f>
        <v>126.76327922243142</v>
      </c>
      <c r="E7" s="23" t="s">
        <v>121</v>
      </c>
      <c r="F7" s="200"/>
      <c r="G7" s="3" t="s">
        <v>235</v>
      </c>
      <c r="H7" s="68" t="s">
        <v>227</v>
      </c>
      <c r="I7" s="24">
        <f>'Area calculations'!$C11*$D21</f>
        <v>9698928.4853441231</v>
      </c>
      <c r="J7" s="24">
        <f>'Area calculations'!$C11*$D21</f>
        <v>9698928.4853441231</v>
      </c>
      <c r="K7" s="24">
        <f>'Area calculations'!$C11*$D21</f>
        <v>9698928.4853441231</v>
      </c>
      <c r="L7" s="24">
        <f>'Area calculations'!$C11*$D21</f>
        <v>9698928.4853441231</v>
      </c>
      <c r="M7" s="24">
        <f>'Area calculations'!$C11*$D21</f>
        <v>9698928.4853441231</v>
      </c>
      <c r="N7" s="24">
        <f>'Area calculations'!$C11*$D21</f>
        <v>9698928.4853441231</v>
      </c>
    </row>
    <row r="8" spans="2:15" x14ac:dyDescent="0.25">
      <c r="B8" s="26" t="s">
        <v>157</v>
      </c>
      <c r="C8" s="27" t="s">
        <v>158</v>
      </c>
      <c r="D8" s="31">
        <f>'Costings - Gov numbers'!D8</f>
        <v>320</v>
      </c>
      <c r="E8" s="32"/>
      <c r="F8" s="200"/>
      <c r="G8" s="197" t="s">
        <v>119</v>
      </c>
      <c r="H8" s="23" t="s">
        <v>120</v>
      </c>
      <c r="I8" s="24">
        <f>('Area calculations'!F5)*$D7*5</f>
        <v>456345248.74344254</v>
      </c>
      <c r="J8" s="24">
        <f>('Area calculations'!G5)*$D7*5</f>
        <v>456345248.74344254</v>
      </c>
      <c r="K8" s="24">
        <f>('Area calculations'!H5)*$D7*5</f>
        <v>456345248.74344254</v>
      </c>
      <c r="L8" s="24">
        <f>('Area calculations'!I5)*$D7*5</f>
        <v>456345248.74344254</v>
      </c>
      <c r="M8" s="24">
        <f>('Area calculations'!J5)*$D7*5</f>
        <v>456345248.74344254</v>
      </c>
      <c r="N8" s="24">
        <f>('Area calculations'!K5)*$D7*5</f>
        <v>456345248.74344254</v>
      </c>
    </row>
    <row r="9" spans="2:15" x14ac:dyDescent="0.25">
      <c r="B9" s="197" t="s">
        <v>89</v>
      </c>
      <c r="C9" s="23" t="s">
        <v>109</v>
      </c>
      <c r="D9" s="24">
        <v>48000</v>
      </c>
      <c r="E9" s="3" t="s">
        <v>222</v>
      </c>
      <c r="F9" s="200"/>
      <c r="G9" s="197"/>
      <c r="H9" s="23" t="s">
        <v>116</v>
      </c>
      <c r="I9" s="24">
        <f>('Area calculations'!F20+'Area calculations'!F14)*'Costings - delivery data'!$D7*5/2</f>
        <v>17624089.172121681</v>
      </c>
      <c r="J9" s="24">
        <f>('Area calculations'!G20+'Area calculations'!G14)*'Costings - delivery data'!$D7*5/2</f>
        <v>31089031.132582035</v>
      </c>
      <c r="K9" s="24">
        <f>('Area calculations'!H20+'Area calculations'!H14)*'Costings - delivery data'!$D7*5/2</f>
        <v>31089031.132582035</v>
      </c>
      <c r="L9" s="24">
        <f>('Area calculations'!I20+'Area calculations'!I14)*'Costings - delivery data'!$D7*5/2</f>
        <v>31089031.132582035</v>
      </c>
      <c r="M9" s="24">
        <f>('Area calculations'!J20+'Area calculations'!J14)*'Costings - delivery data'!$D7*5/2</f>
        <v>31089031.132582035</v>
      </c>
      <c r="N9" s="24">
        <f>('Area calculations'!K20+'Area calculations'!K14)*'Costings - delivery data'!$D7*5/2</f>
        <v>31089031.132582035</v>
      </c>
    </row>
    <row r="10" spans="2:15" x14ac:dyDescent="0.25">
      <c r="B10" s="197"/>
      <c r="C10" s="23" t="s">
        <v>106</v>
      </c>
      <c r="D10" s="24">
        <v>6500</v>
      </c>
      <c r="E10" s="3" t="s">
        <v>223</v>
      </c>
      <c r="F10" s="200"/>
      <c r="G10" s="198" t="s">
        <v>89</v>
      </c>
      <c r="H10" s="27" t="s">
        <v>116</v>
      </c>
      <c r="I10" s="24"/>
      <c r="J10" s="24"/>
      <c r="K10" s="24"/>
      <c r="L10" s="24"/>
      <c r="M10" s="24"/>
      <c r="N10" s="24"/>
    </row>
    <row r="11" spans="2:15" x14ac:dyDescent="0.25">
      <c r="B11" s="197" t="s">
        <v>91</v>
      </c>
      <c r="C11" s="23" t="s">
        <v>109</v>
      </c>
      <c r="D11" s="24">
        <v>16000</v>
      </c>
      <c r="E11" s="69" t="s">
        <v>233</v>
      </c>
      <c r="F11" s="200"/>
      <c r="G11" s="198"/>
      <c r="H11" s="27" t="s">
        <v>106</v>
      </c>
      <c r="I11" s="24"/>
      <c r="J11" s="24"/>
      <c r="K11" s="24"/>
      <c r="L11" s="24"/>
      <c r="M11" s="24"/>
      <c r="N11" s="24"/>
    </row>
    <row r="12" spans="2:15" x14ac:dyDescent="0.25">
      <c r="B12" s="197"/>
      <c r="C12" s="23" t="s">
        <v>106</v>
      </c>
      <c r="D12" s="24"/>
      <c r="E12" s="37"/>
      <c r="F12" s="200"/>
      <c r="G12" s="198"/>
      <c r="H12" s="27" t="s">
        <v>111</v>
      </c>
      <c r="I12" s="24"/>
      <c r="J12" s="24"/>
      <c r="K12" s="24"/>
      <c r="L12" s="24"/>
      <c r="M12" s="24"/>
      <c r="N12" s="24"/>
    </row>
    <row r="13" spans="2:15" x14ac:dyDescent="0.25">
      <c r="B13" s="197" t="s">
        <v>88</v>
      </c>
      <c r="C13" s="23" t="s">
        <v>109</v>
      </c>
      <c r="D13" s="24">
        <v>2500</v>
      </c>
      <c r="E13" s="3" t="s">
        <v>230</v>
      </c>
      <c r="F13" s="200"/>
      <c r="G13" s="198" t="s">
        <v>91</v>
      </c>
      <c r="H13" s="27" t="s">
        <v>116</v>
      </c>
      <c r="I13" s="24"/>
      <c r="J13" s="24"/>
      <c r="K13" s="24"/>
      <c r="L13" s="24"/>
      <c r="M13" s="24"/>
      <c r="N13" s="24"/>
    </row>
    <row r="14" spans="2:15" x14ac:dyDescent="0.25">
      <c r="B14" s="197"/>
      <c r="C14" s="23" t="s">
        <v>106</v>
      </c>
      <c r="D14" s="24">
        <f>(765+500)/2</f>
        <v>632.5</v>
      </c>
      <c r="E14" s="3" t="s">
        <v>231</v>
      </c>
      <c r="F14" s="200"/>
      <c r="G14" s="198"/>
      <c r="H14" s="27" t="s">
        <v>106</v>
      </c>
      <c r="I14" s="24"/>
      <c r="J14" s="24"/>
      <c r="K14" s="24"/>
      <c r="L14" s="24"/>
      <c r="M14" s="24"/>
      <c r="N14" s="24"/>
    </row>
    <row r="15" spans="2:15" x14ac:dyDescent="0.25">
      <c r="B15" s="197" t="s">
        <v>90</v>
      </c>
      <c r="C15" s="23" t="s">
        <v>109</v>
      </c>
      <c r="D15" s="24"/>
      <c r="F15" s="200"/>
      <c r="G15" s="198"/>
      <c r="H15" s="27" t="s">
        <v>111</v>
      </c>
      <c r="I15" s="24"/>
      <c r="J15" s="24"/>
      <c r="K15" s="24"/>
      <c r="L15" s="24"/>
      <c r="M15" s="24"/>
      <c r="N15" s="24"/>
    </row>
    <row r="16" spans="2:15" ht="15" customHeight="1" x14ac:dyDescent="0.25">
      <c r="B16" s="197"/>
      <c r="C16" s="23" t="s">
        <v>106</v>
      </c>
      <c r="D16" s="24"/>
      <c r="F16" s="200"/>
      <c r="G16" s="198" t="s">
        <v>88</v>
      </c>
      <c r="H16" s="27" t="s">
        <v>116</v>
      </c>
      <c r="I16" s="24"/>
      <c r="J16" s="24"/>
      <c r="K16" s="24"/>
      <c r="L16" s="24"/>
      <c r="M16" s="24"/>
      <c r="N16" s="24"/>
    </row>
    <row r="17" spans="2:14" x14ac:dyDescent="0.25">
      <c r="B17" s="197" t="s">
        <v>95</v>
      </c>
      <c r="C17" s="23" t="s">
        <v>103</v>
      </c>
      <c r="D17" s="24">
        <v>10000</v>
      </c>
      <c r="E17" s="3" t="s">
        <v>170</v>
      </c>
      <c r="F17" s="200"/>
      <c r="G17" s="198"/>
      <c r="H17" s="27" t="s">
        <v>106</v>
      </c>
      <c r="I17" s="24"/>
      <c r="J17" s="24"/>
      <c r="K17" s="24"/>
      <c r="L17" s="24"/>
      <c r="M17" s="24"/>
      <c r="N17" s="24"/>
    </row>
    <row r="18" spans="2:14" x14ac:dyDescent="0.25">
      <c r="B18" s="197"/>
      <c r="C18" s="23" t="s">
        <v>103</v>
      </c>
      <c r="D18" s="24">
        <v>16000</v>
      </c>
      <c r="E18" s="3" t="s">
        <v>169</v>
      </c>
      <c r="F18" s="200"/>
      <c r="G18" s="198"/>
      <c r="H18" s="27" t="s">
        <v>111</v>
      </c>
      <c r="I18" s="24"/>
      <c r="J18" s="24"/>
      <c r="K18" s="24"/>
      <c r="L18" s="24"/>
      <c r="M18" s="24"/>
      <c r="N18" s="24"/>
    </row>
    <row r="19" spans="2:14" x14ac:dyDescent="0.25">
      <c r="B19" s="197"/>
      <c r="C19" s="23" t="s">
        <v>103</v>
      </c>
      <c r="D19" s="24">
        <v>16000</v>
      </c>
      <c r="E19" s="3" t="s">
        <v>239</v>
      </c>
      <c r="F19" s="200"/>
      <c r="G19" s="198" t="s">
        <v>90</v>
      </c>
      <c r="H19" s="27" t="s">
        <v>116</v>
      </c>
      <c r="I19" s="24"/>
      <c r="J19" s="24"/>
      <c r="K19" s="24"/>
      <c r="L19" s="24"/>
      <c r="M19" s="24"/>
      <c r="N19" s="24"/>
    </row>
    <row r="20" spans="2:14" x14ac:dyDescent="0.25">
      <c r="F20" s="200"/>
      <c r="G20" s="198"/>
      <c r="H20" s="27" t="s">
        <v>106</v>
      </c>
      <c r="I20" s="24"/>
      <c r="J20" s="24"/>
      <c r="K20" s="24"/>
      <c r="L20" s="24"/>
      <c r="M20" s="24"/>
      <c r="N20" s="24"/>
    </row>
    <row r="21" spans="2:14" x14ac:dyDescent="0.25">
      <c r="B21" s="3" t="s">
        <v>235</v>
      </c>
      <c r="C21" s="69" t="s">
        <v>236</v>
      </c>
      <c r="D21" s="24">
        <v>2000</v>
      </c>
      <c r="E21" s="3" t="s">
        <v>240</v>
      </c>
      <c r="F21" s="200"/>
      <c r="G21" s="198"/>
      <c r="H21" s="27" t="s">
        <v>111</v>
      </c>
      <c r="I21" s="24"/>
      <c r="J21" s="24"/>
      <c r="K21" s="24"/>
      <c r="L21" s="24"/>
      <c r="M21" s="24"/>
      <c r="N21" s="24"/>
    </row>
    <row r="22" spans="2:14" x14ac:dyDescent="0.25">
      <c r="B22" s="3" t="s">
        <v>110</v>
      </c>
      <c r="C22" s="67" t="s">
        <v>225</v>
      </c>
      <c r="D22" s="24">
        <f>(350+156)/2</f>
        <v>253</v>
      </c>
      <c r="E22" s="3" t="s">
        <v>229</v>
      </c>
      <c r="F22" s="200"/>
      <c r="G22" s="197" t="s">
        <v>95</v>
      </c>
      <c r="H22" s="23" t="s">
        <v>103</v>
      </c>
      <c r="I22" s="24">
        <f>'Area calculations'!F25*(('Costings - delivery data'!$D17+$D18+$D19)/3)*5/2</f>
        <v>321510000</v>
      </c>
      <c r="J22" s="24">
        <f>'Area calculations'!G25*(('Costings - delivery data'!$D17+$D18+$D19)/3)*5/2</f>
        <v>321510000</v>
      </c>
      <c r="K22" s="24">
        <f>'Area calculations'!H25*(('Costings - delivery data'!$D17+$D18+$D19)/3)*5/2</f>
        <v>321510000</v>
      </c>
      <c r="L22" s="24">
        <f>'Area calculations'!I25*(('Costings - delivery data'!$D17+$D18+$D19)/3)*5/2</f>
        <v>321510000</v>
      </c>
      <c r="M22" s="24">
        <f>'Area calculations'!J25*(('Costings - delivery data'!$D17+$D18+$D19)/3)*5/2</f>
        <v>321510000</v>
      </c>
      <c r="N22" s="24">
        <f>'Area calculations'!K25*(('Costings - delivery data'!$D17+$D18+$D19)/3)*5/2</f>
        <v>321510000</v>
      </c>
    </row>
    <row r="23" spans="2:14" ht="15" customHeight="1" x14ac:dyDescent="0.25">
      <c r="C23" s="67" t="s">
        <v>226</v>
      </c>
      <c r="D23" s="66">
        <v>32000</v>
      </c>
      <c r="E23" s="3" t="s">
        <v>224</v>
      </c>
      <c r="F23" s="200"/>
      <c r="G23" s="197"/>
      <c r="H23" s="23" t="s">
        <v>111</v>
      </c>
      <c r="I23" s="199" t="s">
        <v>172</v>
      </c>
      <c r="J23" s="199"/>
      <c r="K23" s="199"/>
      <c r="L23" s="199"/>
      <c r="M23" s="199"/>
      <c r="N23" s="199"/>
    </row>
    <row r="24" spans="2:14" x14ac:dyDescent="0.25">
      <c r="F24" s="22" t="s">
        <v>156</v>
      </c>
      <c r="G24" s="21"/>
      <c r="I24" s="25">
        <f t="shared" ref="I24:N24" si="0">SUM(I3:I23)</f>
        <v>3014211201.4783082</v>
      </c>
      <c r="J24" s="25">
        <f t="shared" si="0"/>
        <v>3027676143.4387689</v>
      </c>
      <c r="K24" s="25">
        <f t="shared" si="0"/>
        <v>3027676143.4387689</v>
      </c>
      <c r="L24" s="25">
        <f t="shared" si="0"/>
        <v>3027676143.4387689</v>
      </c>
      <c r="M24" s="25">
        <f t="shared" si="0"/>
        <v>3027676143.4387689</v>
      </c>
      <c r="N24" s="25">
        <f t="shared" si="0"/>
        <v>3027676143.4387689</v>
      </c>
    </row>
    <row r="25" spans="2:14" ht="15" customHeight="1" x14ac:dyDescent="0.25">
      <c r="G25" s="3"/>
    </row>
    <row r="26" spans="2:14" x14ac:dyDescent="0.25">
      <c r="F26" s="200" t="s">
        <v>113</v>
      </c>
      <c r="G26" s="197" t="s">
        <v>104</v>
      </c>
      <c r="H26" s="23" t="s">
        <v>105</v>
      </c>
      <c r="I26" s="24">
        <f>'Area calculations'!F29*'Costings - delivery data'!$D4*5/2</f>
        <v>1691200000</v>
      </c>
      <c r="J26" s="24">
        <f>'Area calculations'!G29*'Costings - delivery data'!$D4*5/2</f>
        <v>1691200000</v>
      </c>
      <c r="K26" s="24">
        <f>'Area calculations'!H29*'Costings - delivery data'!$D4*5/2</f>
        <v>1691200000</v>
      </c>
      <c r="L26" s="24">
        <f>'Area calculations'!I29*'Costings - delivery data'!$D4*5/2</f>
        <v>1691200000</v>
      </c>
      <c r="M26" s="24">
        <f>'Area calculations'!J29*'Costings - delivery data'!$D4*5/2</f>
        <v>1691200000</v>
      </c>
      <c r="N26" s="24">
        <f>'Area calculations'!K29*'Costings - delivery data'!$D4*5/2</f>
        <v>1691200000</v>
      </c>
    </row>
    <row r="27" spans="2:14" x14ac:dyDescent="0.25">
      <c r="F27" s="200"/>
      <c r="G27" s="197"/>
      <c r="H27" s="23" t="s">
        <v>106</v>
      </c>
      <c r="I27" s="24">
        <f>'Area calculations'!F29*'Costings - delivery data'!$D5*5/2</f>
        <v>70000000</v>
      </c>
      <c r="J27" s="24">
        <f>'Area calculations'!G29*'Costings - delivery data'!$D5*5/2</f>
        <v>70000000</v>
      </c>
      <c r="K27" s="24">
        <f>'Area calculations'!H29*'Costings - delivery data'!$D5*5/2</f>
        <v>70000000</v>
      </c>
      <c r="L27" s="24">
        <f>'Area calculations'!I29*'Costings - delivery data'!$D5*5/2</f>
        <v>70000000</v>
      </c>
      <c r="M27" s="24">
        <f>'Area calculations'!J29*'Costings - delivery data'!$D5*5/2</f>
        <v>70000000</v>
      </c>
      <c r="N27" s="24">
        <f>'Area calculations'!K29*'Costings - delivery data'!$D5*5/2</f>
        <v>70000000</v>
      </c>
    </row>
    <row r="28" spans="2:14" x14ac:dyDescent="0.25">
      <c r="F28" s="200"/>
      <c r="G28" s="197"/>
      <c r="H28" s="23" t="s">
        <v>111</v>
      </c>
      <c r="I28" s="24">
        <f>'Area calculations'!F29*'Costings - delivery data'!$D22*5</f>
        <v>88550000</v>
      </c>
      <c r="J28" s="24">
        <f>'Area calculations'!G29*'Costings - delivery data'!$D22*5</f>
        <v>88550000</v>
      </c>
      <c r="K28" s="24">
        <f>'Area calculations'!H29*'Costings - delivery data'!$D22*5</f>
        <v>88550000</v>
      </c>
      <c r="L28" s="24">
        <f>'Area calculations'!I29*'Costings - delivery data'!$D22*5</f>
        <v>88550000</v>
      </c>
      <c r="M28" s="24">
        <f>'Area calculations'!J29*'Costings - delivery data'!$D22*5</f>
        <v>88550000</v>
      </c>
      <c r="N28" s="24">
        <f>'Area calculations'!K29*'Costings - delivery data'!$D22*5</f>
        <v>88550000</v>
      </c>
    </row>
    <row r="29" spans="2:14" x14ac:dyDescent="0.25">
      <c r="F29" s="200"/>
      <c r="G29" s="197" t="s">
        <v>107</v>
      </c>
      <c r="H29" s="23" t="s">
        <v>108</v>
      </c>
      <c r="I29" s="24">
        <f>'Area calculations'!F30*AVERAGE('Costings - Gov numbers'!$D9,'Costings - Gov numbers'!$D11,'Costings - Gov numbers'!$D13,'Costings - Gov numbers'!$D15)*5/2</f>
        <v>210049813.55864611</v>
      </c>
      <c r="J29" s="24">
        <f>'Area calculations'!G30*AVERAGE('Costings - Gov numbers'!$D9,'Costings - Gov numbers'!$D11,'Costings - Gov numbers'!$D13,'Costings - Gov numbers'!$D15)*5/2</f>
        <v>210049813.55864611</v>
      </c>
      <c r="K29" s="24">
        <f>'Area calculations'!H30*AVERAGE('Costings - Gov numbers'!$D9,'Costings - Gov numbers'!$D11,'Costings - Gov numbers'!$D13,'Costings - Gov numbers'!$D15)*5/2</f>
        <v>210049813.55864611</v>
      </c>
      <c r="L29" s="24">
        <f>'Area calculations'!I30*AVERAGE('Costings - Gov numbers'!$D9,'Costings - Gov numbers'!$D11,'Costings - Gov numbers'!$D13,'Costings - Gov numbers'!$D15)*5/2</f>
        <v>210049813.55864611</v>
      </c>
      <c r="M29" s="24">
        <f>'Area calculations'!J30*AVERAGE('Costings - Gov numbers'!$D9,'Costings - Gov numbers'!$D11,'Costings - Gov numbers'!$D13,'Costings - Gov numbers'!$D15)*5/2</f>
        <v>210049813.55864611</v>
      </c>
      <c r="N29" s="24">
        <f>'Area calculations'!K30*AVERAGE('Costings - Gov numbers'!$D9,'Costings - Gov numbers'!$D11,'Costings - Gov numbers'!$D13,'Costings - Gov numbers'!$D15)*5/2</f>
        <v>210049813.55864611</v>
      </c>
    </row>
    <row r="30" spans="2:14" x14ac:dyDescent="0.25">
      <c r="F30" s="200"/>
      <c r="G30" s="197"/>
      <c r="H30" s="23" t="s">
        <v>106</v>
      </c>
      <c r="I30" s="24">
        <f>'Area calculations'!F30*'Costings - delivery data'!$D7*5/2</f>
        <v>40621843.955535017</v>
      </c>
      <c r="J30" s="24">
        <f>'Area calculations'!G30*'Costings - delivery data'!$D7*5/2</f>
        <v>40621843.955535017</v>
      </c>
      <c r="K30" s="24">
        <f>'Area calculations'!H30*'Costings - delivery data'!$D7*5/2</f>
        <v>40621843.955535017</v>
      </c>
      <c r="L30" s="24">
        <f>'Area calculations'!I30*'Costings - delivery data'!$D7*5/2</f>
        <v>40621843.955535017</v>
      </c>
      <c r="M30" s="24">
        <f>'Area calculations'!J30*'Costings - delivery data'!$D7*5/2</f>
        <v>40621843.955535017</v>
      </c>
      <c r="N30" s="24">
        <f>'Area calculations'!K30*'Costings - delivery data'!$D7*5/2</f>
        <v>40621843.955535017</v>
      </c>
    </row>
    <row r="31" spans="2:14" x14ac:dyDescent="0.25">
      <c r="F31" s="200"/>
      <c r="G31" s="197"/>
      <c r="H31" s="23" t="s">
        <v>111</v>
      </c>
      <c r="I31" s="24">
        <f>'Area calculations'!F30*'Costings - delivery data'!$D8*5</f>
        <v>205090782.52798885</v>
      </c>
      <c r="J31" s="24">
        <f>'Area calculations'!G30*'Costings - delivery data'!$D8*5</f>
        <v>205090782.52798885</v>
      </c>
      <c r="K31" s="24">
        <f>'Area calculations'!H30*'Costings - delivery data'!$D8*5</f>
        <v>205090782.52798885</v>
      </c>
      <c r="L31" s="24">
        <f>'Area calculations'!I30*'Costings - delivery data'!$D8*5</f>
        <v>205090782.52798885</v>
      </c>
      <c r="M31" s="24">
        <f>'Area calculations'!J30*'Costings - delivery data'!$D8*5</f>
        <v>205090782.52798885</v>
      </c>
      <c r="N31" s="24">
        <f>'Area calculations'!K30*'Costings - delivery data'!$D8*5</f>
        <v>205090782.52798885</v>
      </c>
    </row>
    <row r="32" spans="2:14" x14ac:dyDescent="0.25">
      <c r="F32" s="200"/>
      <c r="G32" s="197" t="s">
        <v>89</v>
      </c>
      <c r="H32" s="23" t="s">
        <v>109</v>
      </c>
      <c r="I32" s="24">
        <f>'Area calculations'!F33*'Costings - delivery data'!$D9*5/2</f>
        <v>0</v>
      </c>
      <c r="J32" s="24">
        <f>'Area calculations'!G33*'Costings - delivery data'!$D9*5/2</f>
        <v>0</v>
      </c>
      <c r="K32" s="24">
        <f>'Area calculations'!H33*'Costings - delivery data'!$D9*5/2</f>
        <v>65524271.505677164</v>
      </c>
      <c r="L32" s="24">
        <f>'Area calculations'!I33*'Costings - delivery data'!$D9*5/2</f>
        <v>1421725769.1169047</v>
      </c>
      <c r="M32" s="24">
        <f>'Area calculations'!J33*'Costings - delivery data'!$D9*5/2</f>
        <v>2537711999.9999995</v>
      </c>
      <c r="N32" s="24">
        <f>'Area calculations'!K33*'Costings - delivery data'!$D9*5/2</f>
        <v>2537711999.9999995</v>
      </c>
    </row>
    <row r="33" spans="6:14" x14ac:dyDescent="0.25">
      <c r="F33" s="200"/>
      <c r="G33" s="197"/>
      <c r="H33" s="23" t="s">
        <v>106</v>
      </c>
      <c r="I33" s="24">
        <f>'Area calculations'!F33*'Costings - delivery data'!$D7*5/2</f>
        <v>0</v>
      </c>
      <c r="J33" s="24">
        <f>'Area calculations'!G33*'Costings - delivery data'!$D10*5/2</f>
        <v>0</v>
      </c>
      <c r="K33" s="24">
        <f>'Area calculations'!H33*'Costings - delivery data'!$D10*5/2</f>
        <v>8873078.4330604486</v>
      </c>
      <c r="L33" s="24">
        <f>'Area calculations'!I33*'Costings - delivery data'!$D10*5/2</f>
        <v>192525364.56791416</v>
      </c>
      <c r="M33" s="24">
        <f>'Area calculations'!J33*'Costings - delivery data'!$D10*5/2</f>
        <v>343648500</v>
      </c>
      <c r="N33" s="24">
        <f>'Area calculations'!K33*'Costings - delivery data'!$D10*5/2</f>
        <v>343648500</v>
      </c>
    </row>
    <row r="34" spans="6:14" x14ac:dyDescent="0.25">
      <c r="F34" s="200"/>
      <c r="G34" s="197"/>
      <c r="H34" s="23" t="s">
        <v>111</v>
      </c>
      <c r="I34" s="24">
        <f>'Area calculations'!F33*'Costings - delivery data'!$D23*5</f>
        <v>0</v>
      </c>
      <c r="J34" s="24">
        <f>'Area calculations'!G33*'Costings - delivery data'!$D23*5</f>
        <v>0</v>
      </c>
      <c r="K34" s="24">
        <f>'Area calculations'!H33*'Costings - delivery data'!$D23*5</f>
        <v>87365695.34090288</v>
      </c>
      <c r="L34" s="24">
        <f>'Area calculations'!I33*'Costings - delivery data'!$D23*5</f>
        <v>1895634358.8225393</v>
      </c>
      <c r="M34" s="24">
        <f>'Area calculations'!J33*'Costings - delivery data'!$D23*5</f>
        <v>3383616000</v>
      </c>
      <c r="N34" s="24">
        <f>'Area calculations'!K33*'Costings - delivery data'!$D23*5</f>
        <v>3383616000</v>
      </c>
    </row>
    <row r="35" spans="6:14" x14ac:dyDescent="0.25">
      <c r="F35" s="200"/>
      <c r="G35" s="197" t="s">
        <v>91</v>
      </c>
      <c r="H35" s="23" t="s">
        <v>109</v>
      </c>
      <c r="I35" s="24">
        <f>'Area calculations'!F34*(AVERAGE('Costings - delivery data'!$D17:$D19)*5/2)</f>
        <v>0</v>
      </c>
      <c r="J35" s="24">
        <f>'Area calculations'!G34*(AVERAGE('Costings - delivery data'!$D17:$D19)*5/2)</f>
        <v>0</v>
      </c>
      <c r="K35" s="24">
        <f>'Area calculations'!H34*(AVERAGE('Costings - delivery data'!$D17:$D19)*5/2)</f>
        <v>8395831.7091852669</v>
      </c>
      <c r="L35" s="24">
        <f>'Area calculations'!I34*(AVERAGE('Costings - delivery data'!$D17:$D19)*5/2)</f>
        <v>182170209.90585619</v>
      </c>
      <c r="M35" s="24">
        <f>'Area calculations'!J34*(AVERAGE('Costings - delivery data'!$D17:$D19)*5/2)</f>
        <v>679192304.37243664</v>
      </c>
      <c r="N35" s="24">
        <f>'Area calculations'!K34*(AVERAGE('Costings - delivery data'!$D17:$D19)*5/2)</f>
        <v>1206922133.5987363</v>
      </c>
    </row>
    <row r="36" spans="6:14" x14ac:dyDescent="0.25">
      <c r="F36" s="200"/>
      <c r="G36" s="197"/>
      <c r="H36" s="23" t="s">
        <v>106</v>
      </c>
      <c r="I36" s="24">
        <f>'Area calculations'!F34*'Costings - delivery data'!$D7*5/2</f>
        <v>0</v>
      </c>
      <c r="J36" s="24">
        <f>'Area calculations'!G34*'Costings - delivery data'!$D14*5/2</f>
        <v>0</v>
      </c>
      <c r="K36" s="24">
        <f>'Area calculations'!H34*'Costings - delivery data'!$D14*5/2</f>
        <v>379311.68257569149</v>
      </c>
      <c r="L36" s="24">
        <f>'Area calculations'!I34*'Costings - delivery data'!$D14*5/2</f>
        <v>8230189.8403895749</v>
      </c>
      <c r="M36" s="24">
        <f>'Area calculations'!J34*'Costings - delivery data'!$D14*5/2</f>
        <v>30684938.036826156</v>
      </c>
      <c r="N36" s="24">
        <f>'Area calculations'!K34*'Costings - delivery data'!$D14*5/2</f>
        <v>54527017.821514338</v>
      </c>
    </row>
    <row r="37" spans="6:14" x14ac:dyDescent="0.25">
      <c r="F37" s="200"/>
      <c r="G37" s="197"/>
      <c r="H37" s="23" t="s">
        <v>111</v>
      </c>
      <c r="I37" s="199" t="s">
        <v>172</v>
      </c>
      <c r="J37" s="199"/>
      <c r="K37" s="199"/>
      <c r="L37" s="199"/>
      <c r="M37" s="199"/>
      <c r="N37" s="199"/>
    </row>
    <row r="38" spans="6:14" x14ac:dyDescent="0.25">
      <c r="F38" s="200"/>
      <c r="G38" s="197" t="s">
        <v>88</v>
      </c>
      <c r="H38" s="23" t="s">
        <v>109</v>
      </c>
      <c r="I38" s="24">
        <f>'Area calculations'!F35*'Costings - delivery data'!$D13*5/2</f>
        <v>0</v>
      </c>
      <c r="J38" s="24">
        <f>'Area calculations'!G35*'Costings - delivery data'!$D13*5/2</f>
        <v>0</v>
      </c>
      <c r="K38" s="24">
        <f>'Area calculations'!H35*'Costings - delivery data'!$D13*5/2</f>
        <v>11854142.682076516</v>
      </c>
      <c r="L38" s="24">
        <f>'Area calculations'!I35*'Costings - delivery data'!$D13*5/2</f>
        <v>257207592.46345156</v>
      </c>
      <c r="M38" s="24">
        <f>'Area calculations'!J35*'Costings - delivery data'!$D13*5/2</f>
        <v>958957106.74988043</v>
      </c>
      <c r="N38" s="24">
        <f>'Area calculations'!K35*'Costings - delivery data'!$D13*5/2</f>
        <v>1704063120.05794</v>
      </c>
    </row>
    <row r="39" spans="6:14" x14ac:dyDescent="0.25">
      <c r="F39" s="200"/>
      <c r="G39" s="197"/>
      <c r="H39" s="23" t="s">
        <v>106</v>
      </c>
      <c r="I39" s="24">
        <f>'Area calculations'!F35*'Costings - delivery data'!$D7*5/2</f>
        <v>0</v>
      </c>
      <c r="J39" s="24">
        <f>'Area calculations'!G35*'Costings - delivery data'!$D14*5/2</f>
        <v>0</v>
      </c>
      <c r="K39" s="24">
        <f>'Area calculations'!H35*'Costings - delivery data'!$D14*5/2</f>
        <v>2999098.0985653582</v>
      </c>
      <c r="L39" s="24">
        <f>'Area calculations'!I35*'Costings - delivery data'!$D14*5/2</f>
        <v>65073520.893253244</v>
      </c>
      <c r="M39" s="24">
        <f>'Area calculations'!J35*'Costings - delivery data'!$D14*5/2</f>
        <v>242616148.00771976</v>
      </c>
      <c r="N39" s="24">
        <f>'Area calculations'!K35*'Costings - delivery data'!$D14*5/2</f>
        <v>431127969.37465876</v>
      </c>
    </row>
    <row r="40" spans="6:14" x14ac:dyDescent="0.25">
      <c r="F40" s="200"/>
      <c r="G40" s="197"/>
      <c r="H40" s="23" t="s">
        <v>111</v>
      </c>
      <c r="I40" s="24">
        <f>'Area calculations'!F35*'Costings - delivery data'!$D22*5</f>
        <v>0</v>
      </c>
      <c r="J40" s="24">
        <f>'Area calculations'!G35*'Costings - delivery data'!$D22*5</f>
        <v>0</v>
      </c>
      <c r="K40" s="24">
        <f>'Area calculations'!H35*'Costings - delivery data'!$D22*5</f>
        <v>2399278.4788522865</v>
      </c>
      <c r="L40" s="24">
        <f>'Area calculations'!I35*'Costings - delivery data'!$D22*5</f>
        <v>52058816.714602597</v>
      </c>
      <c r="M40" s="24">
        <f>'Area calculations'!J35*'Costings - delivery data'!$D22*5</f>
        <v>194092918.40617579</v>
      </c>
      <c r="N40" s="24">
        <f>'Area calculations'!K35*'Costings - delivery data'!$D22*5</f>
        <v>344902375.49972707</v>
      </c>
    </row>
    <row r="41" spans="6:14" x14ac:dyDescent="0.25">
      <c r="F41" s="200"/>
      <c r="G41" s="197" t="s">
        <v>90</v>
      </c>
      <c r="H41" s="23" t="s">
        <v>109</v>
      </c>
      <c r="I41" s="24">
        <f>'Area calculations'!F36*'Costings - delivery data'!$D15</f>
        <v>0</v>
      </c>
      <c r="J41" s="24">
        <f>'Area calculations'!G36*'Costings - delivery data'!$D13</f>
        <v>0</v>
      </c>
      <c r="K41" s="24">
        <f>'Area calculations'!H36*'Costings - delivery data'!$D13</f>
        <v>1015367.4076617326</v>
      </c>
      <c r="L41" s="24">
        <f>'Area calculations'!I36*'Costings - delivery data'!$D13</f>
        <v>22031134.042734694</v>
      </c>
      <c r="M41" s="24">
        <f>'Area calculations'!J36*'Costings - delivery data'!$D13</f>
        <v>82139537.008580834</v>
      </c>
      <c r="N41" s="24">
        <f>'Area calculations'!K36*'Costings - delivery data'!$D13</f>
        <v>145961643.88347849</v>
      </c>
    </row>
    <row r="42" spans="6:14" x14ac:dyDescent="0.25">
      <c r="F42" s="200"/>
      <c r="G42" s="197"/>
      <c r="H42" s="23" t="s">
        <v>106</v>
      </c>
      <c r="I42" s="24">
        <f>'Area calculations'!F36*'Costings - delivery data'!$D7</f>
        <v>0</v>
      </c>
      <c r="J42" s="24">
        <f>'Area calculations'!G36*'Costings - delivery data'!$D14</f>
        <v>0</v>
      </c>
      <c r="K42" s="24">
        <f>'Area calculations'!H36*'Costings - delivery data'!$D14</f>
        <v>256887.95413841837</v>
      </c>
      <c r="L42" s="24">
        <f>'Area calculations'!I36*'Costings - delivery data'!$D14</f>
        <v>5573876.9128118772</v>
      </c>
      <c r="M42" s="24">
        <f>'Area calculations'!J36*'Costings - delivery data'!$D14</f>
        <v>20781302.863170948</v>
      </c>
      <c r="N42" s="24">
        <f>'Area calculations'!K36*'Costings - delivery data'!$D14</f>
        <v>36928295.902520053</v>
      </c>
    </row>
    <row r="43" spans="6:14" x14ac:dyDescent="0.25">
      <c r="F43" s="200"/>
      <c r="G43" s="197"/>
      <c r="H43" s="23" t="s">
        <v>111</v>
      </c>
      <c r="I43" s="24">
        <f>'Area calculations'!F36*'Costings - delivery data'!$D22*5</f>
        <v>0</v>
      </c>
      <c r="J43" s="24">
        <f>'Area calculations'!G36*'Costings - delivery data'!$D22*5</f>
        <v>0</v>
      </c>
      <c r="K43" s="24">
        <f>'Area calculations'!H36*'Costings - delivery data'!$D22*5</f>
        <v>513775.90827683674</v>
      </c>
      <c r="L43" s="24">
        <f>'Area calculations'!I36*'Costings - delivery data'!$D22*5</f>
        <v>11147753.825623754</v>
      </c>
      <c r="M43" s="24">
        <f>'Area calculations'!J36*'Costings - delivery data'!$D22*5</f>
        <v>41562605.726341896</v>
      </c>
      <c r="N43" s="24">
        <f>'Area calculations'!K36*'Costings - delivery data'!$D22*5</f>
        <v>73856591.805040106</v>
      </c>
    </row>
    <row r="44" spans="6:14" x14ac:dyDescent="0.25">
      <c r="F44" s="22" t="s">
        <v>156</v>
      </c>
      <c r="I44" s="25">
        <f>SUM(I26:I43)</f>
        <v>2305512440.04217</v>
      </c>
      <c r="J44" s="25">
        <f t="shared" ref="J44:N44" si="1">SUM(J26:J43)</f>
        <v>2305512440.04217</v>
      </c>
      <c r="K44" s="25">
        <f t="shared" si="1"/>
        <v>2495089179.2431431</v>
      </c>
      <c r="L44" s="25">
        <f t="shared" si="1"/>
        <v>6418891027.1482515</v>
      </c>
      <c r="M44" s="25">
        <f t="shared" si="1"/>
        <v>10820515801.213301</v>
      </c>
      <c r="N44" s="25">
        <f t="shared" si="1"/>
        <v>12568778087.985783</v>
      </c>
    </row>
    <row r="45" spans="6:14" x14ac:dyDescent="0.25">
      <c r="F45" s="22"/>
    </row>
    <row r="46" spans="6:14" ht="15.75" x14ac:dyDescent="0.25">
      <c r="F46" s="19" t="s">
        <v>82</v>
      </c>
      <c r="G46" s="28"/>
      <c r="H46" s="28"/>
      <c r="I46" s="29">
        <f>I24+I44</f>
        <v>5319723641.5204782</v>
      </c>
      <c r="J46" s="29">
        <f>J24+J44</f>
        <v>5333188583.4809389</v>
      </c>
      <c r="K46" s="29">
        <f t="shared" ref="K46:N46" si="2">K24+K44</f>
        <v>5522765322.6819115</v>
      </c>
      <c r="L46" s="29">
        <f t="shared" si="2"/>
        <v>9446567170.5870209</v>
      </c>
      <c r="M46" s="29">
        <f t="shared" si="2"/>
        <v>13848191944.652069</v>
      </c>
      <c r="N46" s="29">
        <f t="shared" si="2"/>
        <v>15596454231.424551</v>
      </c>
    </row>
  </sheetData>
  <mergeCells count="25">
    <mergeCell ref="I37:N37"/>
    <mergeCell ref="G8:G9"/>
    <mergeCell ref="I23:N23"/>
    <mergeCell ref="F26:F43"/>
    <mergeCell ref="G38:G40"/>
    <mergeCell ref="G41:G43"/>
    <mergeCell ref="G26:G28"/>
    <mergeCell ref="G29:G31"/>
    <mergeCell ref="G32:G34"/>
    <mergeCell ref="G35:G37"/>
    <mergeCell ref="F3:F23"/>
    <mergeCell ref="G16:G18"/>
    <mergeCell ref="G19:G21"/>
    <mergeCell ref="G22:G23"/>
    <mergeCell ref="G3:G4"/>
    <mergeCell ref="G13:G15"/>
    <mergeCell ref="B17:B19"/>
    <mergeCell ref="B13:B14"/>
    <mergeCell ref="B15:B16"/>
    <mergeCell ref="B4:B5"/>
    <mergeCell ref="G5:G6"/>
    <mergeCell ref="B9:B10"/>
    <mergeCell ref="G10:G12"/>
    <mergeCell ref="B11:B12"/>
    <mergeCell ref="B6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8ED2-2196-4336-B73B-5877DFABCC36}">
  <dimension ref="B2:O46"/>
  <sheetViews>
    <sheetView topLeftCell="E23" workbookViewId="0">
      <selection activeCell="A49" sqref="A49:XFD65"/>
    </sheetView>
  </sheetViews>
  <sheetFormatPr defaultColWidth="9.140625" defaultRowHeight="15" x14ac:dyDescent="0.25"/>
  <cols>
    <col min="1" max="1" width="9.140625" style="23"/>
    <col min="2" max="2" width="20.42578125" style="23" customWidth="1"/>
    <col min="3" max="3" width="25" style="23" customWidth="1"/>
    <col min="4" max="4" width="11.28515625" style="23" bestFit="1" customWidth="1"/>
    <col min="5" max="5" width="60.140625" style="23" customWidth="1"/>
    <col min="6" max="6" width="16.5703125" style="23" customWidth="1"/>
    <col min="7" max="7" width="23.28515625" style="23" customWidth="1"/>
    <col min="8" max="8" width="24.42578125" style="23" customWidth="1"/>
    <col min="9" max="14" width="19.85546875" style="23" customWidth="1"/>
    <col min="15" max="15" width="83" style="23" customWidth="1"/>
    <col min="16" max="16384" width="9.140625" style="23"/>
  </cols>
  <sheetData>
    <row r="2" spans="2:15" x14ac:dyDescent="0.25">
      <c r="D2" s="2" t="s">
        <v>101</v>
      </c>
      <c r="I2" s="4">
        <v>0.3</v>
      </c>
      <c r="J2" s="4">
        <v>0.35</v>
      </c>
      <c r="K2" s="5">
        <v>0.38</v>
      </c>
      <c r="L2" s="4">
        <v>0.4</v>
      </c>
      <c r="M2" s="4">
        <v>0.45</v>
      </c>
      <c r="N2" s="4">
        <v>0.5</v>
      </c>
      <c r="O2" s="2" t="s">
        <v>10</v>
      </c>
    </row>
    <row r="3" spans="2:15" ht="15" customHeight="1" x14ac:dyDescent="0.25">
      <c r="B3" s="3" t="s">
        <v>102</v>
      </c>
      <c r="C3" s="23" t="s">
        <v>103</v>
      </c>
      <c r="D3" s="24">
        <v>1878</v>
      </c>
      <c r="E3" s="30" t="s">
        <v>118</v>
      </c>
      <c r="F3" s="200" t="s">
        <v>112</v>
      </c>
      <c r="G3" s="197" t="s">
        <v>104</v>
      </c>
      <c r="H3" s="23" t="s">
        <v>106</v>
      </c>
      <c r="I3" s="24">
        <f>'Area calculations'!F16*'Costings - Gov numbers'!$D5*5</f>
        <v>360071050.11057127</v>
      </c>
      <c r="J3" s="24">
        <f>'Area calculations'!G16*'Costings - Gov numbers'!$D5*5</f>
        <v>360071050.11057127</v>
      </c>
      <c r="K3" s="24">
        <f>'Area calculations'!H16*'Costings - Gov numbers'!$D5*5</f>
        <v>360071050.11057127</v>
      </c>
      <c r="L3" s="24">
        <f>'Area calculations'!I16*'Costings - Gov numbers'!$D5*5</f>
        <v>360071050.11057127</v>
      </c>
      <c r="M3" s="24">
        <f>'Area calculations'!J16*'Costings - Gov numbers'!$D5*5</f>
        <v>360071050.11057127</v>
      </c>
      <c r="N3" s="24">
        <f>'Area calculations'!K16*'Costings - Gov numbers'!$D5*5</f>
        <v>360071050.11057127</v>
      </c>
    </row>
    <row r="4" spans="2:15" x14ac:dyDescent="0.25">
      <c r="B4" s="197" t="s">
        <v>104</v>
      </c>
      <c r="C4" s="23" t="s">
        <v>105</v>
      </c>
      <c r="D4" s="24">
        <v>9664</v>
      </c>
      <c r="E4" s="30" t="s">
        <v>117</v>
      </c>
      <c r="F4" s="200"/>
      <c r="G4" s="197"/>
      <c r="H4" s="23" t="s">
        <v>116</v>
      </c>
      <c r="I4" s="24">
        <f>'Area calculations'!F17*'Costings - Gov numbers'!$D5*5/2</f>
        <v>59511884.966828637</v>
      </c>
      <c r="J4" s="24">
        <f>'Area calculations'!G17*'Costings - Gov numbers'!$D5*5/2</f>
        <v>59511884.966828637</v>
      </c>
      <c r="K4" s="24">
        <f>'Area calculations'!H17*'Costings - Gov numbers'!$D5*5/2</f>
        <v>59511884.966828637</v>
      </c>
      <c r="L4" s="24">
        <f>'Area calculations'!I17*'Costings - Gov numbers'!$D5*5/2</f>
        <v>59511884.966828637</v>
      </c>
      <c r="M4" s="24">
        <f>'Area calculations'!J17*'Costings - Gov numbers'!$D5*5/2</f>
        <v>59511884.966828637</v>
      </c>
      <c r="N4" s="24">
        <f>'Area calculations'!K17*'Costings - Gov numbers'!$D5*5/2</f>
        <v>59511884.966828637</v>
      </c>
    </row>
    <row r="5" spans="2:15" x14ac:dyDescent="0.25">
      <c r="B5" s="197"/>
      <c r="C5" s="23" t="s">
        <v>106</v>
      </c>
      <c r="D5" s="24">
        <v>400</v>
      </c>
      <c r="E5" s="30" t="s">
        <v>114</v>
      </c>
      <c r="F5" s="200"/>
      <c r="G5" s="197" t="s">
        <v>102</v>
      </c>
      <c r="H5" s="23" t="s">
        <v>103</v>
      </c>
      <c r="I5" s="24">
        <f>'Area calculations'!$C7*'Costings - Gov numbers'!$D3*5/2</f>
        <v>610350000</v>
      </c>
      <c r="J5" s="24">
        <f>'Area calculations'!$C7*'Costings - Gov numbers'!$D3*5/2</f>
        <v>610350000</v>
      </c>
      <c r="K5" s="24">
        <f>'Area calculations'!$C7*'Costings - Gov numbers'!$D3*5/2</f>
        <v>610350000</v>
      </c>
      <c r="L5" s="24">
        <f>'Area calculations'!$C7*'Costings - Gov numbers'!$D3*5/2</f>
        <v>610350000</v>
      </c>
      <c r="M5" s="24">
        <f>'Area calculations'!$C7*'Costings - Gov numbers'!$D3*5/2</f>
        <v>610350000</v>
      </c>
      <c r="N5" s="24">
        <f>'Area calculations'!$C7*'Costings - Gov numbers'!$D3*5/2</f>
        <v>610350000</v>
      </c>
      <c r="O5" s="23" t="s">
        <v>115</v>
      </c>
    </row>
    <row r="6" spans="2:15" x14ac:dyDescent="0.25">
      <c r="B6" s="197" t="s">
        <v>107</v>
      </c>
      <c r="C6" s="23" t="s">
        <v>108</v>
      </c>
      <c r="D6" s="24">
        <f>AVERAGE(D9,D11,D13,D15)</f>
        <v>655.47500000000002</v>
      </c>
      <c r="E6" s="33" t="s">
        <v>175</v>
      </c>
      <c r="F6" s="200"/>
      <c r="G6" s="197"/>
      <c r="H6" s="23" t="s">
        <v>111</v>
      </c>
      <c r="I6" s="24">
        <f>'Area calculations'!$C7*'Costings - Gov numbers'!$D8*5</f>
        <v>208000000</v>
      </c>
      <c r="J6" s="24">
        <f>'Area calculations'!$C7*'Costings - Gov numbers'!$D8*5</f>
        <v>208000000</v>
      </c>
      <c r="K6" s="24">
        <f>'Area calculations'!$C7*'Costings - Gov numbers'!$D8*5</f>
        <v>208000000</v>
      </c>
      <c r="L6" s="24">
        <f>'Area calculations'!$C7*'Costings - Gov numbers'!$D8*5</f>
        <v>208000000</v>
      </c>
      <c r="M6" s="24">
        <f>'Area calculations'!$C7*'Costings - Gov numbers'!$D8*5</f>
        <v>208000000</v>
      </c>
      <c r="N6" s="24">
        <f>'Area calculations'!$C7*'Costings - Gov numbers'!$D8*5</f>
        <v>208000000</v>
      </c>
      <c r="O6" s="37" t="s">
        <v>221</v>
      </c>
    </row>
    <row r="7" spans="2:15" x14ac:dyDescent="0.25">
      <c r="B7" s="197"/>
      <c r="C7" s="23" t="s">
        <v>106</v>
      </c>
      <c r="D7" s="24">
        <f>62275630/(98255*5)</f>
        <v>126.76327922243142</v>
      </c>
      <c r="E7" s="23" t="s">
        <v>121</v>
      </c>
      <c r="F7" s="200"/>
      <c r="G7" s="3" t="s">
        <v>235</v>
      </c>
      <c r="H7" s="68" t="s">
        <v>227</v>
      </c>
      <c r="I7" s="24">
        <f>'Area calculations'!$C11*'Costings - Gov numbers'!$D19</f>
        <v>9698928.4853441231</v>
      </c>
      <c r="J7" s="24">
        <f>'Area calculations'!$C11*'Costings - Gov numbers'!$D19</f>
        <v>9698928.4853441231</v>
      </c>
      <c r="K7" s="24">
        <f>'Area calculations'!$C11*'Costings - Gov numbers'!$D19</f>
        <v>9698928.4853441231</v>
      </c>
      <c r="L7" s="24">
        <f>'Area calculations'!$C11*'Costings - Gov numbers'!$D19</f>
        <v>9698928.4853441231</v>
      </c>
      <c r="M7" s="24">
        <f>'Area calculations'!$C11*'Costings - Gov numbers'!$D19</f>
        <v>9698928.4853441231</v>
      </c>
      <c r="N7" s="24">
        <f>'Area calculations'!$C11*'Costings - Gov numbers'!$D19</f>
        <v>9698928.4853441231</v>
      </c>
      <c r="O7" s="69" t="s">
        <v>237</v>
      </c>
    </row>
    <row r="8" spans="2:15" x14ac:dyDescent="0.25">
      <c r="B8" s="21" t="s">
        <v>157</v>
      </c>
      <c r="C8" s="23" t="s">
        <v>158</v>
      </c>
      <c r="D8" s="24">
        <v>320</v>
      </c>
      <c r="E8" s="30" t="s">
        <v>247</v>
      </c>
      <c r="F8" s="200"/>
      <c r="G8" s="197" t="s">
        <v>119</v>
      </c>
      <c r="H8" s="23" t="s">
        <v>120</v>
      </c>
      <c r="I8" s="24">
        <f>('Area calculations'!F5)*$D7*5</f>
        <v>456345248.74344254</v>
      </c>
      <c r="J8" s="24">
        <f>('Area calculations'!G5)*$D7*5</f>
        <v>456345248.74344254</v>
      </c>
      <c r="K8" s="24">
        <f>('Area calculations'!H5)*$D7*5</f>
        <v>456345248.74344254</v>
      </c>
      <c r="L8" s="24">
        <f>('Area calculations'!I5)*$D7*5</f>
        <v>456345248.74344254</v>
      </c>
      <c r="M8" s="24">
        <f>('Area calculations'!J5)*$D7*5</f>
        <v>456345248.74344254</v>
      </c>
      <c r="N8" s="24">
        <f>('Area calculations'!K5)*$D7*5</f>
        <v>456345248.74344254</v>
      </c>
      <c r="O8" s="37" t="s">
        <v>191</v>
      </c>
    </row>
    <row r="9" spans="2:15" x14ac:dyDescent="0.25">
      <c r="B9" s="197" t="s">
        <v>89</v>
      </c>
      <c r="C9" s="23" t="s">
        <v>109</v>
      </c>
      <c r="D9" s="24">
        <f>'AES for Habitat target'!F3</f>
        <v>643.25</v>
      </c>
      <c r="E9" s="37" t="s">
        <v>175</v>
      </c>
      <c r="F9" s="200"/>
      <c r="G9" s="197"/>
      <c r="H9" s="23" t="s">
        <v>116</v>
      </c>
      <c r="I9" s="24">
        <f>('Area calculations'!F20+'Area calculations'!F14)*'Costings - Gov numbers'!$D7*5/2</f>
        <v>17624089.172121681</v>
      </c>
      <c r="J9" s="24">
        <f>('Area calculations'!G20+'Area calculations'!G14)*'Costings - Gov numbers'!$D7*5/2</f>
        <v>31089031.132582035</v>
      </c>
      <c r="K9" s="24">
        <f>('Area calculations'!H20+'Area calculations'!H14)*'Costings - Gov numbers'!$D7*5/2</f>
        <v>31089031.132582035</v>
      </c>
      <c r="L9" s="24">
        <f>('Area calculations'!I20+'Area calculations'!I14)*'Costings - Gov numbers'!$D7*5/2</f>
        <v>31089031.132582035</v>
      </c>
      <c r="M9" s="24">
        <f>('Area calculations'!J20+'Area calculations'!J14)*'Costings - Gov numbers'!$D7*5/2</f>
        <v>31089031.132582035</v>
      </c>
      <c r="N9" s="24">
        <f>('Area calculations'!K20+'Area calculations'!K14)*'Costings - Gov numbers'!$D7*5/2</f>
        <v>31089031.132582035</v>
      </c>
      <c r="O9" s="23" t="s">
        <v>115</v>
      </c>
    </row>
    <row r="10" spans="2:15" x14ac:dyDescent="0.25">
      <c r="B10" s="197"/>
      <c r="C10" s="23" t="s">
        <v>106</v>
      </c>
      <c r="D10" s="24"/>
      <c r="F10" s="200"/>
      <c r="G10" s="198" t="s">
        <v>89</v>
      </c>
      <c r="H10" s="27" t="s">
        <v>116</v>
      </c>
      <c r="I10" s="24"/>
      <c r="J10" s="24"/>
      <c r="K10" s="24"/>
      <c r="L10" s="24"/>
      <c r="M10" s="24"/>
      <c r="N10" s="24"/>
    </row>
    <row r="11" spans="2:15" x14ac:dyDescent="0.25">
      <c r="B11" s="197" t="s">
        <v>91</v>
      </c>
      <c r="C11" s="23" t="s">
        <v>109</v>
      </c>
      <c r="D11" s="24">
        <f>'AES for Habitat target'!F7</f>
        <v>838</v>
      </c>
      <c r="E11" s="37" t="s">
        <v>175</v>
      </c>
      <c r="F11" s="200"/>
      <c r="G11" s="198"/>
      <c r="H11" s="27" t="s">
        <v>106</v>
      </c>
      <c r="I11" s="24"/>
      <c r="J11" s="24"/>
      <c r="K11" s="24"/>
      <c r="L11" s="24"/>
      <c r="M11" s="24"/>
      <c r="N11" s="24"/>
    </row>
    <row r="12" spans="2:15" x14ac:dyDescent="0.25">
      <c r="B12" s="197"/>
      <c r="C12" s="23" t="s">
        <v>106</v>
      </c>
      <c r="D12" s="24"/>
      <c r="F12" s="200"/>
      <c r="G12" s="198"/>
      <c r="H12" s="27" t="s">
        <v>111</v>
      </c>
      <c r="I12" s="24"/>
      <c r="J12" s="24"/>
      <c r="K12" s="24"/>
      <c r="L12" s="24"/>
      <c r="M12" s="24"/>
      <c r="N12" s="24"/>
    </row>
    <row r="13" spans="2:15" x14ac:dyDescent="0.25">
      <c r="B13" s="197" t="s">
        <v>88</v>
      </c>
      <c r="C13" s="23" t="s">
        <v>109</v>
      </c>
      <c r="D13" s="24">
        <f>'AES for Habitat target'!F15</f>
        <v>622.4</v>
      </c>
      <c r="E13" s="37" t="s">
        <v>175</v>
      </c>
      <c r="F13" s="200"/>
      <c r="G13" s="198" t="s">
        <v>91</v>
      </c>
      <c r="H13" s="27" t="s">
        <v>116</v>
      </c>
      <c r="I13" s="24"/>
      <c r="J13" s="24"/>
      <c r="K13" s="24"/>
      <c r="L13" s="24"/>
      <c r="M13" s="24"/>
      <c r="N13" s="24"/>
    </row>
    <row r="14" spans="2:15" x14ac:dyDescent="0.25">
      <c r="B14" s="197"/>
      <c r="C14" s="23" t="s">
        <v>106</v>
      </c>
      <c r="D14" s="24"/>
      <c r="F14" s="200"/>
      <c r="G14" s="198"/>
      <c r="H14" s="27" t="s">
        <v>106</v>
      </c>
      <c r="I14" s="24"/>
      <c r="J14" s="24"/>
      <c r="K14" s="24"/>
      <c r="L14" s="24"/>
      <c r="M14" s="24"/>
      <c r="N14" s="24"/>
    </row>
    <row r="15" spans="2:15" x14ac:dyDescent="0.25">
      <c r="B15" s="197" t="s">
        <v>90</v>
      </c>
      <c r="C15" s="23" t="s">
        <v>109</v>
      </c>
      <c r="D15" s="24">
        <f>'AES for Habitat target'!F20</f>
        <v>518.25</v>
      </c>
      <c r="E15" s="37" t="s">
        <v>175</v>
      </c>
      <c r="F15" s="200"/>
      <c r="G15" s="198"/>
      <c r="H15" s="27" t="s">
        <v>111</v>
      </c>
      <c r="I15" s="24"/>
      <c r="J15" s="24"/>
      <c r="K15" s="24"/>
      <c r="L15" s="24"/>
      <c r="M15" s="24"/>
      <c r="N15" s="24"/>
    </row>
    <row r="16" spans="2:15" x14ac:dyDescent="0.25">
      <c r="B16" s="197"/>
      <c r="C16" s="23" t="s">
        <v>106</v>
      </c>
      <c r="D16" s="24"/>
      <c r="F16" s="200"/>
      <c r="G16" s="198" t="s">
        <v>88</v>
      </c>
      <c r="H16" s="27" t="s">
        <v>116</v>
      </c>
      <c r="I16" s="24"/>
      <c r="J16" s="24"/>
      <c r="K16" s="24"/>
      <c r="L16" s="24"/>
      <c r="M16" s="24"/>
      <c r="N16" s="24"/>
    </row>
    <row r="17" spans="2:15" ht="15" customHeight="1" x14ac:dyDescent="0.25">
      <c r="B17" s="3" t="s">
        <v>95</v>
      </c>
      <c r="C17" s="23" t="s">
        <v>103</v>
      </c>
      <c r="D17" s="24">
        <f>'AES for Habitat target'!F12</f>
        <v>23554.5</v>
      </c>
      <c r="E17" s="37" t="s">
        <v>175</v>
      </c>
      <c r="F17" s="200"/>
      <c r="G17" s="198"/>
      <c r="H17" s="27" t="s">
        <v>106</v>
      </c>
      <c r="I17" s="24"/>
      <c r="J17" s="24"/>
      <c r="K17" s="24"/>
      <c r="L17" s="24"/>
      <c r="M17" s="24"/>
      <c r="N17" s="24"/>
    </row>
    <row r="18" spans="2:15" x14ac:dyDescent="0.25">
      <c r="F18" s="200"/>
      <c r="G18" s="198"/>
      <c r="H18" s="27" t="s">
        <v>111</v>
      </c>
      <c r="I18" s="24"/>
      <c r="J18" s="24"/>
      <c r="K18" s="24"/>
      <c r="L18" s="24"/>
      <c r="M18" s="24"/>
      <c r="N18" s="24"/>
    </row>
    <row r="19" spans="2:15" x14ac:dyDescent="0.25">
      <c r="B19" s="3" t="s">
        <v>235</v>
      </c>
      <c r="C19" s="69" t="s">
        <v>236</v>
      </c>
      <c r="D19" s="24">
        <v>2000</v>
      </c>
      <c r="E19" s="70" t="s">
        <v>240</v>
      </c>
      <c r="F19" s="200"/>
      <c r="G19" s="198" t="s">
        <v>90</v>
      </c>
      <c r="H19" s="27" t="s">
        <v>116</v>
      </c>
      <c r="I19" s="24"/>
      <c r="J19" s="24"/>
      <c r="K19" s="24"/>
      <c r="L19" s="24"/>
      <c r="M19" s="24"/>
      <c r="N19" s="24"/>
    </row>
    <row r="20" spans="2:15" x14ac:dyDescent="0.25">
      <c r="B20" s="3" t="s">
        <v>110</v>
      </c>
      <c r="F20" s="200"/>
      <c r="G20" s="198"/>
      <c r="H20" s="27" t="s">
        <v>106</v>
      </c>
      <c r="I20" s="24"/>
      <c r="J20" s="24"/>
      <c r="K20" s="24"/>
      <c r="L20" s="24"/>
      <c r="M20" s="24"/>
      <c r="N20" s="24"/>
    </row>
    <row r="21" spans="2:15" x14ac:dyDescent="0.25">
      <c r="F21" s="200"/>
      <c r="G21" s="198"/>
      <c r="H21" s="27" t="s">
        <v>111</v>
      </c>
      <c r="I21" s="24"/>
      <c r="J21" s="24"/>
      <c r="K21" s="24"/>
      <c r="L21" s="24"/>
      <c r="M21" s="24"/>
      <c r="N21" s="24"/>
    </row>
    <row r="22" spans="2:15" x14ac:dyDescent="0.25">
      <c r="F22" s="200"/>
      <c r="G22" s="197" t="s">
        <v>95</v>
      </c>
      <c r="H22" s="23" t="s">
        <v>103</v>
      </c>
      <c r="I22" s="24">
        <f>'Area calculations'!F25*'Costings - Gov numbers'!$D17*5/2</f>
        <v>540929092.5</v>
      </c>
      <c r="J22" s="24">
        <f>'Area calculations'!G25*'Costings - Gov numbers'!$D17*5/2</f>
        <v>540929092.5</v>
      </c>
      <c r="K22" s="24">
        <f>'Area calculations'!H25*'Costings - Gov numbers'!$D17*5/2</f>
        <v>540929092.5</v>
      </c>
      <c r="L22" s="24">
        <f>'Area calculations'!I25*'Costings - Gov numbers'!$D17*5/2</f>
        <v>540929092.5</v>
      </c>
      <c r="M22" s="24">
        <f>'Area calculations'!J25*'Costings - Gov numbers'!$D17*5/2</f>
        <v>540929092.5</v>
      </c>
      <c r="N22" s="24">
        <f>'Area calculations'!K25*'Costings - Gov numbers'!$D17*5/2</f>
        <v>540929092.5</v>
      </c>
      <c r="O22" s="23" t="s">
        <v>115</v>
      </c>
    </row>
    <row r="23" spans="2:15" x14ac:dyDescent="0.25">
      <c r="F23" s="200"/>
      <c r="G23" s="197"/>
      <c r="H23" s="23" t="s">
        <v>111</v>
      </c>
      <c r="I23" s="24">
        <f>'Area calculations'!F25*'Costings - Gov numbers'!$D8*5</f>
        <v>14697600</v>
      </c>
      <c r="J23" s="24">
        <f>'Area calculations'!G25*'Costings - Gov numbers'!$D8*5</f>
        <v>14697600</v>
      </c>
      <c r="K23" s="24">
        <f>'Area calculations'!H25*'Costings - Gov numbers'!$D8*5</f>
        <v>14697600</v>
      </c>
      <c r="L23" s="24">
        <f>'Area calculations'!I25*'Costings - Gov numbers'!$D8*5</f>
        <v>14697600</v>
      </c>
      <c r="M23" s="24">
        <f>'Area calculations'!J25*'Costings - Gov numbers'!$D8*5</f>
        <v>14697600</v>
      </c>
      <c r="N23" s="24">
        <f>'Area calculations'!K25*'Costings - Gov numbers'!$D8*5</f>
        <v>14697600</v>
      </c>
      <c r="O23" s="23" t="s">
        <v>159</v>
      </c>
    </row>
    <row r="24" spans="2:15" ht="15" customHeight="1" x14ac:dyDescent="0.25">
      <c r="F24" s="22" t="s">
        <v>156</v>
      </c>
      <c r="G24" s="21"/>
      <c r="I24" s="25">
        <f>SUM(I3:I23)</f>
        <v>2277227893.9783087</v>
      </c>
      <c r="J24" s="25">
        <f t="shared" ref="J24:N24" si="0">SUM(J3:J23)</f>
        <v>2290692835.9387684</v>
      </c>
      <c r="K24" s="25">
        <f t="shared" si="0"/>
        <v>2290692835.9387684</v>
      </c>
      <c r="L24" s="25">
        <f t="shared" si="0"/>
        <v>2290692835.9387684</v>
      </c>
      <c r="M24" s="25">
        <f t="shared" si="0"/>
        <v>2290692835.9387684</v>
      </c>
      <c r="N24" s="25">
        <f t="shared" si="0"/>
        <v>2290692835.9387684</v>
      </c>
    </row>
    <row r="25" spans="2:15" x14ac:dyDescent="0.25">
      <c r="G25" s="3"/>
    </row>
    <row r="26" spans="2:15" ht="15" customHeight="1" x14ac:dyDescent="0.25">
      <c r="F26" s="200" t="s">
        <v>113</v>
      </c>
      <c r="G26" s="197" t="s">
        <v>104</v>
      </c>
      <c r="H26" s="23" t="s">
        <v>105</v>
      </c>
      <c r="I26" s="24">
        <f>'Area calculations'!F29*'Costings - Gov numbers'!$D4*5/2</f>
        <v>1691200000</v>
      </c>
      <c r="J26" s="24">
        <f>'Area calculations'!G29*'Costings - Gov numbers'!$D4*5/2</f>
        <v>1691200000</v>
      </c>
      <c r="K26" s="24">
        <f>'Area calculations'!H29*'Costings - Gov numbers'!$D4*5/2</f>
        <v>1691200000</v>
      </c>
      <c r="L26" s="24">
        <f>'Area calculations'!I29*'Costings - Gov numbers'!$D4*5/2</f>
        <v>1691200000</v>
      </c>
      <c r="M26" s="24">
        <f>'Area calculations'!J29*'Costings - Gov numbers'!$D4*5/2</f>
        <v>1691200000</v>
      </c>
      <c r="N26" s="24">
        <f>'Area calculations'!K29*'Costings - Gov numbers'!$D4*5/2</f>
        <v>1691200000</v>
      </c>
      <c r="O26" s="23" t="s">
        <v>115</v>
      </c>
    </row>
    <row r="27" spans="2:15" x14ac:dyDescent="0.25">
      <c r="F27" s="200"/>
      <c r="G27" s="197"/>
      <c r="H27" s="23" t="s">
        <v>106</v>
      </c>
      <c r="I27" s="24">
        <f>'Area calculations'!F29*'Costings - Gov numbers'!$D5*5/2</f>
        <v>70000000</v>
      </c>
      <c r="J27" s="24">
        <f>'Area calculations'!G29*'Costings - Gov numbers'!$D5*5/2</f>
        <v>70000000</v>
      </c>
      <c r="K27" s="24">
        <f>'Area calculations'!H29*'Costings - Gov numbers'!$D5*5/2</f>
        <v>70000000</v>
      </c>
      <c r="L27" s="24">
        <f>'Area calculations'!I29*'Costings - Gov numbers'!$D5*5/2</f>
        <v>70000000</v>
      </c>
      <c r="M27" s="24">
        <f>'Area calculations'!J29*'Costings - Gov numbers'!$D5*5/2</f>
        <v>70000000</v>
      </c>
      <c r="N27" s="24">
        <f>'Area calculations'!K29*'Costings - Gov numbers'!$D5*5/2</f>
        <v>70000000</v>
      </c>
      <c r="O27" s="23" t="s">
        <v>115</v>
      </c>
    </row>
    <row r="28" spans="2:15" x14ac:dyDescent="0.25">
      <c r="F28" s="200"/>
      <c r="G28" s="197"/>
      <c r="H28" s="23" t="s">
        <v>111</v>
      </c>
      <c r="I28" s="24">
        <f>'Area calculations'!F29*'Costings - Gov numbers'!$D8*5</f>
        <v>112000000</v>
      </c>
      <c r="J28" s="24">
        <f>'Area calculations'!G29*'Costings - Gov numbers'!$D8*5</f>
        <v>112000000</v>
      </c>
      <c r="K28" s="24">
        <f>'Area calculations'!H29*'Costings - Gov numbers'!$D8*5</f>
        <v>112000000</v>
      </c>
      <c r="L28" s="24">
        <f>'Area calculations'!I29*'Costings - Gov numbers'!$D8*5</f>
        <v>112000000</v>
      </c>
      <c r="M28" s="24">
        <f>'Area calculations'!J29*'Costings - Gov numbers'!$D8*5</f>
        <v>112000000</v>
      </c>
      <c r="N28" s="24">
        <f>'Area calculations'!K29*'Costings - Gov numbers'!$D8*5</f>
        <v>112000000</v>
      </c>
      <c r="O28" s="23" t="s">
        <v>159</v>
      </c>
    </row>
    <row r="29" spans="2:15" x14ac:dyDescent="0.25">
      <c r="F29" s="200"/>
      <c r="G29" s="197" t="s">
        <v>107</v>
      </c>
      <c r="H29" s="23" t="s">
        <v>108</v>
      </c>
      <c r="I29" s="24">
        <f>'Area calculations'!F30*AVERAGE('Costings - Gov numbers'!$D9,'Costings - Gov numbers'!$D11,'Costings - Gov numbers'!$D13,'Costings - Gov numbers'!$D15)*5/2</f>
        <v>210049813.55864611</v>
      </c>
      <c r="J29" s="24">
        <f>'Area calculations'!G30*AVERAGE('Costings - Gov numbers'!$D9,'Costings - Gov numbers'!$D11,'Costings - Gov numbers'!$D13,'Costings - Gov numbers'!$D15)*5/2</f>
        <v>210049813.55864611</v>
      </c>
      <c r="K29" s="24">
        <f>'Area calculations'!H30*AVERAGE('Costings - Gov numbers'!$D9,'Costings - Gov numbers'!$D11,'Costings - Gov numbers'!$D13,'Costings - Gov numbers'!$D15)*5/2</f>
        <v>210049813.55864611</v>
      </c>
      <c r="L29" s="24">
        <f>'Area calculations'!I30*AVERAGE('Costings - Gov numbers'!$D9,'Costings - Gov numbers'!$D11,'Costings - Gov numbers'!$D13,'Costings - Gov numbers'!$D15)*5/2</f>
        <v>210049813.55864611</v>
      </c>
      <c r="M29" s="24">
        <f>'Area calculations'!J30*AVERAGE('Costings - Gov numbers'!$D9,'Costings - Gov numbers'!$D11,'Costings - Gov numbers'!$D13,'Costings - Gov numbers'!$D15)*5/2</f>
        <v>210049813.55864611</v>
      </c>
      <c r="N29" s="24">
        <f>'Area calculations'!K30*AVERAGE('Costings - Gov numbers'!$D9,'Costings - Gov numbers'!$D11,'Costings - Gov numbers'!$D13,'Costings - Gov numbers'!$D15)*5/2</f>
        <v>210049813.55864611</v>
      </c>
      <c r="O29" s="23" t="s">
        <v>115</v>
      </c>
    </row>
    <row r="30" spans="2:15" x14ac:dyDescent="0.25">
      <c r="F30" s="200"/>
      <c r="G30" s="197"/>
      <c r="H30" s="23" t="s">
        <v>106</v>
      </c>
      <c r="I30" s="24">
        <f>'Area calculations'!F30*'Costings - Gov numbers'!$D7*5/2</f>
        <v>40621843.955535017</v>
      </c>
      <c r="J30" s="24">
        <f>'Area calculations'!G30*'Costings - Gov numbers'!$D7*5/2</f>
        <v>40621843.955535017</v>
      </c>
      <c r="K30" s="24">
        <f>'Area calculations'!H30*'Costings - Gov numbers'!$D7*5/2</f>
        <v>40621843.955535017</v>
      </c>
      <c r="L30" s="24">
        <f>'Area calculations'!I30*'Costings - Gov numbers'!$D7*5/2</f>
        <v>40621843.955535017</v>
      </c>
      <c r="M30" s="24">
        <f>'Area calculations'!J30*'Costings - Gov numbers'!$D7*5/2</f>
        <v>40621843.955535017</v>
      </c>
      <c r="N30" s="24">
        <f>'Area calculations'!K30*'Costings - Gov numbers'!$D7*5/2</f>
        <v>40621843.955535017</v>
      </c>
      <c r="O30" s="23" t="s">
        <v>115</v>
      </c>
    </row>
    <row r="31" spans="2:15" x14ac:dyDescent="0.25">
      <c r="F31" s="200"/>
      <c r="G31" s="197"/>
      <c r="H31" s="23" t="s">
        <v>111</v>
      </c>
      <c r="I31" s="24">
        <f>'Area calculations'!F30*'Costings - Gov numbers'!$D8*5</f>
        <v>205090782.52798885</v>
      </c>
      <c r="J31" s="24">
        <f>'Area calculations'!G30*'Costings - Gov numbers'!$D8*5</f>
        <v>205090782.52798885</v>
      </c>
      <c r="K31" s="24">
        <f>'Area calculations'!H30*'Costings - Gov numbers'!$D8*5</f>
        <v>205090782.52798885</v>
      </c>
      <c r="L31" s="24">
        <f>'Area calculations'!I30*'Costings - Gov numbers'!$D8*5</f>
        <v>205090782.52798885</v>
      </c>
      <c r="M31" s="24">
        <f>'Area calculations'!J30*'Costings - Gov numbers'!$D8*5</f>
        <v>205090782.52798885</v>
      </c>
      <c r="N31" s="24">
        <f>'Area calculations'!K30*'Costings - Gov numbers'!$D8*5</f>
        <v>205090782.52798885</v>
      </c>
      <c r="O31" s="23" t="s">
        <v>159</v>
      </c>
    </row>
    <row r="32" spans="2:15" x14ac:dyDescent="0.25">
      <c r="F32" s="200"/>
      <c r="G32" s="197" t="s">
        <v>89</v>
      </c>
      <c r="H32" s="23" t="s">
        <v>109</v>
      </c>
      <c r="I32" s="24">
        <f>'Area calculations'!F33*'Costings - Gov numbers'!$D9*5/2</f>
        <v>0</v>
      </c>
      <c r="J32" s="24">
        <f>'Area calculations'!G33*'Costings - Gov numbers'!$D9*5/2</f>
        <v>0</v>
      </c>
      <c r="K32" s="24">
        <f>'Area calculations'!H33*'Costings - Gov numbers'!$D9*5/2</f>
        <v>878093.49262555898</v>
      </c>
      <c r="L32" s="24">
        <f>'Area calculations'!I33*'Costings - Gov numbers'!$D9*5/2</f>
        <v>19052606.270509355</v>
      </c>
      <c r="M32" s="24">
        <f>'Area calculations'!J33*'Costings - Gov numbers'!$D9*5/2</f>
        <v>34007984.25</v>
      </c>
      <c r="N32" s="24">
        <f>'Area calculations'!K33*'Costings - Gov numbers'!$D9*5/2</f>
        <v>34007984.25</v>
      </c>
    </row>
    <row r="33" spans="6:15" x14ac:dyDescent="0.25">
      <c r="F33" s="200"/>
      <c r="G33" s="197"/>
      <c r="H33" s="23" t="s">
        <v>106</v>
      </c>
      <c r="I33" s="24">
        <f>'Area calculations'!F33*'Costings - Gov numbers'!$D7*5/2</f>
        <v>0</v>
      </c>
      <c r="J33" s="24">
        <f>'Area calculations'!G33*'Costings - Gov numbers'!$D7*5/2</f>
        <v>0</v>
      </c>
      <c r="K33" s="24">
        <f>'Area calculations'!H33*'Costings - Gov numbers'!$D7*5/2</f>
        <v>173043.15676501166</v>
      </c>
      <c r="L33" s="24">
        <f>'Area calculations'!I33*'Costings - Gov numbers'!$D7*5/2</f>
        <v>3754637.9301727554</v>
      </c>
      <c r="M33" s="24">
        <f>'Area calculations'!J33*'Costings - Gov numbers'!$D7*5/2</f>
        <v>6701847.8092107261</v>
      </c>
      <c r="N33" s="24">
        <f>'Area calculations'!K33*'Costings - Gov numbers'!$D7*5/2</f>
        <v>6701847.8092107261</v>
      </c>
      <c r="O33" s="23" t="s">
        <v>160</v>
      </c>
    </row>
    <row r="34" spans="6:15" x14ac:dyDescent="0.25">
      <c r="F34" s="200"/>
      <c r="G34" s="197"/>
      <c r="H34" s="23" t="s">
        <v>111</v>
      </c>
      <c r="I34" s="24">
        <f>'Area calculations'!F33*'Costings - Gov numbers'!$D8*5</f>
        <v>0</v>
      </c>
      <c r="J34" s="24">
        <f>'Area calculations'!G33*'Costings - Gov numbers'!$D8*5</f>
        <v>0</v>
      </c>
      <c r="K34" s="24">
        <f>'Area calculations'!H33*'Costings - Gov numbers'!$D8*5</f>
        <v>873656.95340902882</v>
      </c>
      <c r="L34" s="24">
        <f>'Area calculations'!I33*'Costings - Gov numbers'!$D8*5</f>
        <v>18956343.588225394</v>
      </c>
      <c r="M34" s="24">
        <f>'Area calculations'!J33*'Costings - Gov numbers'!$D8*5</f>
        <v>33836160</v>
      </c>
      <c r="N34" s="24">
        <f>'Area calculations'!K33*'Costings - Gov numbers'!$D8*5</f>
        <v>33836160</v>
      </c>
      <c r="O34" s="23" t="s">
        <v>159</v>
      </c>
    </row>
    <row r="35" spans="6:15" x14ac:dyDescent="0.25">
      <c r="F35" s="200"/>
      <c r="G35" s="197" t="s">
        <v>91</v>
      </c>
      <c r="H35" s="23" t="s">
        <v>109</v>
      </c>
      <c r="I35" s="24">
        <f>'Area calculations'!F34*'Costings - Gov numbers'!$D11*5/2</f>
        <v>0</v>
      </c>
      <c r="J35" s="24">
        <f>'Area calculations'!G34*'Costings - Gov numbers'!$D11*5/2</f>
        <v>0</v>
      </c>
      <c r="K35" s="24">
        <f>'Area calculations'!H34*'Costings - Gov numbers'!$D11*5/2</f>
        <v>502550.49802123243</v>
      </c>
      <c r="L35" s="24">
        <f>'Area calculations'!I34*'Costings - Gov numbers'!$D11*5/2</f>
        <v>10904188.278650537</v>
      </c>
      <c r="M35" s="24">
        <f>'Area calculations'!J34*'Costings - Gov numbers'!$D11*5/2</f>
        <v>40654510.790292993</v>
      </c>
      <c r="N35" s="24">
        <f>'Area calculations'!K34*'Costings - Gov numbers'!$D11*5/2</f>
        <v>72242910.568267211</v>
      </c>
    </row>
    <row r="36" spans="6:15" x14ac:dyDescent="0.25">
      <c r="F36" s="200"/>
      <c r="G36" s="197"/>
      <c r="H36" s="23" t="s">
        <v>106</v>
      </c>
      <c r="I36" s="24">
        <f>'Area calculations'!F34*'Costings - Gov numbers'!$D7*5/2</f>
        <v>0</v>
      </c>
      <c r="J36" s="24">
        <f>'Area calculations'!G34*'Costings - Gov numbers'!$D7*5/2</f>
        <v>0</v>
      </c>
      <c r="K36" s="24">
        <f>'Area calculations'!H34*'Costings - Gov numbers'!$D7*5/2</f>
        <v>76020.225661142555</v>
      </c>
      <c r="L36" s="24">
        <f>'Area calculations'!I34*'Costings - Gov numbers'!$D7*5/2</f>
        <v>1649463.7988789282</v>
      </c>
      <c r="M36" s="24">
        <f>'Area calculations'!J34*'Costings - Gov numbers'!$D7*5/2</f>
        <v>6149760.2660635579</v>
      </c>
      <c r="N36" s="24">
        <f>'Area calculations'!K34*'Costings - Gov numbers'!$D7*5/2</f>
        <v>10928100.530079234</v>
      </c>
      <c r="O36" s="23" t="s">
        <v>160</v>
      </c>
    </row>
    <row r="37" spans="6:15" x14ac:dyDescent="0.25">
      <c r="F37" s="200"/>
      <c r="G37" s="197"/>
      <c r="H37" s="23" t="s">
        <v>111</v>
      </c>
      <c r="I37" s="24">
        <f>'Area calculations'!F34*'Costings - Gov numbers'!$D8*5</f>
        <v>0</v>
      </c>
      <c r="J37" s="24">
        <f>'Area calculations'!G34*'Costings - Gov numbers'!$D8*5</f>
        <v>0</v>
      </c>
      <c r="K37" s="24">
        <f>'Area calculations'!H34*'Costings - Gov numbers'!$D8*5</f>
        <v>383809.44956275506</v>
      </c>
      <c r="L37" s="24">
        <f>'Area calculations'!I34*'Costings - Gov numbers'!$D8*5</f>
        <v>8327781.0242677117</v>
      </c>
      <c r="M37" s="24">
        <f>'Area calculations'!J34*'Costings - Gov numbers'!$D8*5</f>
        <v>31048791.057025678</v>
      </c>
      <c r="N37" s="24">
        <f>'Area calculations'!K34*'Costings - Gov numbers'!$D8*5</f>
        <v>55173583.250227943</v>
      </c>
      <c r="O37" s="23" t="s">
        <v>159</v>
      </c>
    </row>
    <row r="38" spans="6:15" x14ac:dyDescent="0.25">
      <c r="F38" s="200"/>
      <c r="G38" s="197" t="s">
        <v>88</v>
      </c>
      <c r="H38" s="23" t="s">
        <v>109</v>
      </c>
      <c r="I38" s="24">
        <f>'Area calculations'!F35*'Costings - Gov numbers'!$D13*5/2</f>
        <v>0</v>
      </c>
      <c r="J38" s="24">
        <f>'Area calculations'!G35*'Costings - Gov numbers'!$D13*5/2</f>
        <v>0</v>
      </c>
      <c r="K38" s="24">
        <f>'Area calculations'!H35*'Costings - Gov numbers'!$D13*5/2</f>
        <v>2951207.3621297693</v>
      </c>
      <c r="L38" s="24">
        <f>'Area calculations'!I35*'Costings - Gov numbers'!$D13*5/2</f>
        <v>64034402.219700895</v>
      </c>
      <c r="M38" s="24">
        <f>'Area calculations'!J35*'Costings - Gov numbers'!$D13*5/2</f>
        <v>238741961.29645023</v>
      </c>
      <c r="N38" s="24">
        <f>'Area calculations'!K35*'Costings - Gov numbers'!$D13*5/2</f>
        <v>424243554.36962473</v>
      </c>
    </row>
    <row r="39" spans="6:15" x14ac:dyDescent="0.25">
      <c r="F39" s="200"/>
      <c r="G39" s="197"/>
      <c r="H39" s="23" t="s">
        <v>106</v>
      </c>
      <c r="I39" s="24">
        <f>'Area calculations'!F35*'Costings - Gov numbers'!$D7*5/2</f>
        <v>0</v>
      </c>
      <c r="J39" s="24">
        <f>'Area calculations'!G35*'Costings - Gov numbers'!$D7*5/2</f>
        <v>0</v>
      </c>
      <c r="K39" s="24">
        <f>'Area calculations'!H35*'Costings - Gov numbers'!$D7*5/2</f>
        <v>601067.99950024299</v>
      </c>
      <c r="L39" s="24">
        <f>'Area calculations'!I35*'Costings - Gov numbers'!$D7*5/2</f>
        <v>13041791.144629542</v>
      </c>
      <c r="M39" s="24">
        <f>'Area calculations'!J35*'Costings - Gov numbers'!$D7*5/2</f>
        <v>48624218.994108029</v>
      </c>
      <c r="N39" s="24">
        <f>'Area calculations'!K35*'Costings - Gov numbers'!$D7*5/2</f>
        <v>86405051.64022091</v>
      </c>
      <c r="O39" s="23" t="s">
        <v>160</v>
      </c>
    </row>
    <row r="40" spans="6:15" x14ac:dyDescent="0.25">
      <c r="F40" s="200"/>
      <c r="G40" s="197"/>
      <c r="H40" s="23" t="s">
        <v>111</v>
      </c>
      <c r="I40" s="24">
        <f>'Area calculations'!F35*'Costings - Gov numbers'!$D8*5</f>
        <v>0</v>
      </c>
      <c r="J40" s="24">
        <f>'Area calculations'!G35*'Costings - Gov numbers'!$D8*5</f>
        <v>0</v>
      </c>
      <c r="K40" s="24">
        <f>'Area calculations'!H35*'Costings - Gov numbers'!$D8*5</f>
        <v>3034660.526611588</v>
      </c>
      <c r="L40" s="24">
        <f>'Area calculations'!I35*'Costings - Gov numbers'!$D8*5</f>
        <v>65845143.670643598</v>
      </c>
      <c r="M40" s="24">
        <f>'Area calculations'!J35*'Costings - Gov numbers'!$D8*5</f>
        <v>245493019.3279694</v>
      </c>
      <c r="N40" s="24">
        <f>'Area calculations'!K35*'Costings - Gov numbers'!$D8*5</f>
        <v>436240158.73483264</v>
      </c>
      <c r="O40" s="23" t="s">
        <v>159</v>
      </c>
    </row>
    <row r="41" spans="6:15" x14ac:dyDescent="0.25">
      <c r="F41" s="200"/>
      <c r="G41" s="197" t="s">
        <v>90</v>
      </c>
      <c r="H41" s="23" t="s">
        <v>109</v>
      </c>
      <c r="I41" s="24">
        <f>'Area calculations'!F36*'Costings - Gov numbers'!$D15</f>
        <v>0</v>
      </c>
      <c r="J41" s="24">
        <f>'Area calculations'!G36*'Costings - Gov numbers'!$D15</f>
        <v>0</v>
      </c>
      <c r="K41" s="24">
        <f>'Area calculations'!H36*'Costings - Gov numbers'!$D15</f>
        <v>210485.66360827719</v>
      </c>
      <c r="L41" s="24">
        <f>'Area calculations'!I36*'Costings - Gov numbers'!$D15</f>
        <v>4567054.0870589018</v>
      </c>
      <c r="M41" s="24">
        <f>'Area calculations'!J36*'Costings - Gov numbers'!$D15</f>
        <v>17027526.021878805</v>
      </c>
      <c r="N41" s="24">
        <f>'Area calculations'!K36*'Costings - Gov numbers'!$D15</f>
        <v>30257848.77704509</v>
      </c>
    </row>
    <row r="42" spans="6:15" x14ac:dyDescent="0.25">
      <c r="F42" s="200"/>
      <c r="G42" s="197"/>
      <c r="H42" s="23" t="s">
        <v>106</v>
      </c>
      <c r="I42" s="24">
        <f>'Area calculations'!F36*'Costings - Gov numbers'!$D7</f>
        <v>0</v>
      </c>
      <c r="J42" s="24">
        <f>'Area calculations'!G36*'Costings - Gov numbers'!$D7</f>
        <v>0</v>
      </c>
      <c r="K42" s="24">
        <f>'Area calculations'!H36*'Costings - Gov numbers'!$D7</f>
        <v>51484.520884312231</v>
      </c>
      <c r="L42" s="24">
        <f>'Area calculations'!I36*'Costings - Gov numbers'!$D7</f>
        <v>1117095.518498397</v>
      </c>
      <c r="M42" s="24">
        <f>'Area calculations'!J36*'Costings - Gov numbers'!$D7</f>
        <v>4164910.8260079883</v>
      </c>
      <c r="N42" s="24">
        <f>'Area calculations'!K36*'Costings - Gov numbers'!$D7</f>
        <v>7401030.6477465928</v>
      </c>
      <c r="O42" s="23" t="s">
        <v>160</v>
      </c>
    </row>
    <row r="43" spans="6:15" x14ac:dyDescent="0.25">
      <c r="F43" s="200"/>
      <c r="G43" s="197"/>
      <c r="H43" s="23" t="s">
        <v>111</v>
      </c>
      <c r="I43" s="24">
        <f>'Area calculations'!F36*'Costings - Gov numbers'!$D8*5</f>
        <v>0</v>
      </c>
      <c r="J43" s="24">
        <f>'Area calculations'!G36*'Costings - Gov numbers'!$D8*5</f>
        <v>0</v>
      </c>
      <c r="K43" s="24">
        <f>'Area calculations'!H36*'Costings - Gov numbers'!$D8*5</f>
        <v>649835.14090350887</v>
      </c>
      <c r="L43" s="24">
        <f>'Area calculations'!I36*'Costings - Gov numbers'!$D8*5</f>
        <v>14099925.787350204</v>
      </c>
      <c r="M43" s="24">
        <f>'Area calculations'!J36*'Costings - Gov numbers'!$D8*5</f>
        <v>52569303.685491726</v>
      </c>
      <c r="N43" s="24">
        <f>'Area calculations'!K36*'Costings - Gov numbers'!$D8*5</f>
        <v>93415452.085426226</v>
      </c>
      <c r="O43" s="23" t="s">
        <v>159</v>
      </c>
    </row>
    <row r="44" spans="6:15" x14ac:dyDescent="0.25">
      <c r="F44" s="22" t="s">
        <v>156</v>
      </c>
      <c r="I44" s="25">
        <f>SUM(I26:I43)</f>
        <v>2328962440.04217</v>
      </c>
      <c r="J44" s="25">
        <f>SUM(J26:J43)</f>
        <v>2328962440.04217</v>
      </c>
      <c r="K44" s="25">
        <f t="shared" ref="K44:N44" si="1">SUM(K26:K43)</f>
        <v>2339348355.0318527</v>
      </c>
      <c r="L44" s="25">
        <f>SUM(L26:L43)</f>
        <v>2554312873.3607569</v>
      </c>
      <c r="M44" s="25">
        <f t="shared" si="1"/>
        <v>3087982434.3666697</v>
      </c>
      <c r="N44" s="25">
        <f t="shared" si="1"/>
        <v>3619816122.7048521</v>
      </c>
    </row>
    <row r="46" spans="6:15" ht="15.75" x14ac:dyDescent="0.25">
      <c r="F46" s="19" t="s">
        <v>82</v>
      </c>
      <c r="G46" s="28"/>
      <c r="H46" s="28"/>
      <c r="I46" s="29">
        <f>I24+I44</f>
        <v>4606190334.0204792</v>
      </c>
      <c r="J46" s="29">
        <f t="shared" ref="J46:N46" si="2">J24+J44</f>
        <v>4619655275.980938</v>
      </c>
      <c r="K46" s="29">
        <f t="shared" si="2"/>
        <v>4630041190.9706211</v>
      </c>
      <c r="L46" s="29">
        <f t="shared" si="2"/>
        <v>4845005709.2995253</v>
      </c>
      <c r="M46" s="29">
        <f t="shared" si="2"/>
        <v>5378675270.305438</v>
      </c>
      <c r="N46" s="29">
        <f t="shared" si="2"/>
        <v>5910508958.6436205</v>
      </c>
    </row>
  </sheetData>
  <mergeCells count="22">
    <mergeCell ref="G35:G37"/>
    <mergeCell ref="G38:G40"/>
    <mergeCell ref="G41:G43"/>
    <mergeCell ref="G29:G31"/>
    <mergeCell ref="F26:F43"/>
    <mergeCell ref="G26:G28"/>
    <mergeCell ref="G32:G34"/>
    <mergeCell ref="B11:B12"/>
    <mergeCell ref="B13:B14"/>
    <mergeCell ref="B15:B16"/>
    <mergeCell ref="G13:G15"/>
    <mergeCell ref="G16:G18"/>
    <mergeCell ref="F3:F23"/>
    <mergeCell ref="G8:G9"/>
    <mergeCell ref="G3:G4"/>
    <mergeCell ref="G19:G21"/>
    <mergeCell ref="G22:G23"/>
    <mergeCell ref="B4:B5"/>
    <mergeCell ref="B9:B10"/>
    <mergeCell ref="G5:G6"/>
    <mergeCell ref="G10:G12"/>
    <mergeCell ref="B6:B7"/>
  </mergeCells>
  <hyperlinks>
    <hyperlink ref="E3" r:id="rId1" xr:uid="{2152D8ED-17CC-4228-A5C5-D7B481942ACF}"/>
    <hyperlink ref="E4" r:id="rId2" xr:uid="{A1CA6BF5-5830-4127-983E-53D4ADC26386}"/>
    <hyperlink ref="E8" r:id="rId3" xr:uid="{10C7D18D-CC6E-478D-9322-009E11EA1C8E}"/>
    <hyperlink ref="E5" r:id="rId4" xr:uid="{20EE3D0C-0CEA-4300-AB1C-C72A43FED41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E130-6C1B-45BE-82FE-48BE387FE067}">
  <dimension ref="B1:O45"/>
  <sheetViews>
    <sheetView topLeftCell="A38" workbookViewId="0">
      <selection activeCell="A47" sqref="A47:XFD59"/>
    </sheetView>
  </sheetViews>
  <sheetFormatPr defaultColWidth="9.140625" defaultRowHeight="15" x14ac:dyDescent="0.25"/>
  <cols>
    <col min="1" max="1" width="9.140625" style="23"/>
    <col min="2" max="2" width="20.42578125" style="23" customWidth="1"/>
    <col min="3" max="3" width="25" style="23" customWidth="1"/>
    <col min="4" max="4" width="11.28515625" style="23" bestFit="1" customWidth="1"/>
    <col min="5" max="5" width="57.140625" style="23" customWidth="1"/>
    <col min="6" max="6" width="16.5703125" style="23" customWidth="1"/>
    <col min="7" max="7" width="23.28515625" style="23" customWidth="1"/>
    <col min="8" max="8" width="24.42578125" style="23" customWidth="1"/>
    <col min="9" max="14" width="21.7109375" style="23" customWidth="1"/>
    <col min="15" max="15" width="45.140625" style="23" customWidth="1"/>
    <col min="16" max="16384" width="9.140625" style="23"/>
  </cols>
  <sheetData>
    <row r="1" spans="2:15" x14ac:dyDescent="0.25">
      <c r="B1" s="30" t="s">
        <v>161</v>
      </c>
    </row>
    <row r="2" spans="2:15" x14ac:dyDescent="0.25">
      <c r="D2" s="2" t="s">
        <v>101</v>
      </c>
      <c r="I2" s="4">
        <v>0.3</v>
      </c>
      <c r="J2" s="4">
        <v>0.35</v>
      </c>
      <c r="K2" s="5">
        <v>0.38</v>
      </c>
      <c r="L2" s="4">
        <v>0.4</v>
      </c>
      <c r="M2" s="4">
        <v>0.45</v>
      </c>
      <c r="N2" s="4">
        <v>0.5</v>
      </c>
      <c r="O2" s="2" t="s">
        <v>10</v>
      </c>
    </row>
    <row r="3" spans="2:15" ht="15" customHeight="1" x14ac:dyDescent="0.25">
      <c r="B3" s="3" t="s">
        <v>102</v>
      </c>
      <c r="C3" s="23" t="s">
        <v>162</v>
      </c>
      <c r="D3" s="24">
        <f>193000000/(97849*9)</f>
        <v>219.15854474184147</v>
      </c>
      <c r="E3" s="23" t="s">
        <v>163</v>
      </c>
      <c r="F3" s="200" t="s">
        <v>112</v>
      </c>
      <c r="G3" s="197" t="s">
        <v>104</v>
      </c>
      <c r="H3" s="23" t="s">
        <v>106</v>
      </c>
      <c r="I3" s="24">
        <f>'Area calculations'!F16*'Costings - Green FI Nos.'!$D5*5</f>
        <v>48654492.911242351</v>
      </c>
      <c r="J3" s="24">
        <f>'Area calculations'!G16*'Costings - Green FI Nos.'!$D5*5</f>
        <v>48654492.911242351</v>
      </c>
      <c r="K3" s="24">
        <f>'Area calculations'!H16*'Costings - Green FI Nos.'!$D5*5</f>
        <v>48654492.911242351</v>
      </c>
      <c r="L3" s="24">
        <f>'Area calculations'!I16*'Costings - Green FI Nos.'!$D5*5</f>
        <v>48654492.911242351</v>
      </c>
      <c r="M3" s="24">
        <f>'Area calculations'!J16*'Costings - Green FI Nos.'!$D5*5</f>
        <v>48654492.911242351</v>
      </c>
      <c r="N3" s="24">
        <f>'Area calculations'!K16*'Costings - Green FI Nos.'!$D5*5</f>
        <v>48654492.911242351</v>
      </c>
    </row>
    <row r="4" spans="2:15" x14ac:dyDescent="0.25">
      <c r="B4" s="197" t="s">
        <v>104</v>
      </c>
      <c r="C4" s="23" t="s">
        <v>105</v>
      </c>
      <c r="D4" s="24">
        <f>845000000/(86340*9)</f>
        <v>1087.4321159241242</v>
      </c>
      <c r="E4" s="23" t="s">
        <v>164</v>
      </c>
      <c r="F4" s="200"/>
      <c r="G4" s="197"/>
      <c r="H4" s="23" t="s">
        <v>116</v>
      </c>
      <c r="I4" s="24">
        <f>'Area calculations'!F17*'Costings - Green FI Nos.'!$D5*5/2</f>
        <v>8041525.6499073524</v>
      </c>
      <c r="J4" s="24">
        <f>'Area calculations'!G17*'Costings - Green FI Nos.'!$D5*5/2</f>
        <v>8041525.6499073524</v>
      </c>
      <c r="K4" s="24">
        <f>'Area calculations'!H17*'Costings - Green FI Nos.'!$D5*5/2</f>
        <v>8041525.6499073524</v>
      </c>
      <c r="L4" s="24">
        <f>'Area calculations'!I17*'Costings - Green FI Nos.'!$D5*5/2</f>
        <v>8041525.6499073524</v>
      </c>
      <c r="M4" s="24">
        <f>'Area calculations'!J17*'Costings - Green FI Nos.'!$D5*5/2</f>
        <v>8041525.6499073524</v>
      </c>
      <c r="N4" s="24">
        <f>'Area calculations'!K17*'Costings - Green FI Nos.'!$D5*5/2</f>
        <v>8041525.6499073524</v>
      </c>
    </row>
    <row r="5" spans="2:15" x14ac:dyDescent="0.25">
      <c r="B5" s="197"/>
      <c r="C5" s="23" t="s">
        <v>106</v>
      </c>
      <c r="D5" s="24">
        <f>42000000/(86340*9)</f>
        <v>54.049880318122156</v>
      </c>
      <c r="E5" s="23" t="s">
        <v>165</v>
      </c>
      <c r="F5" s="200"/>
      <c r="G5" s="197" t="s">
        <v>102</v>
      </c>
      <c r="H5" s="23" t="s">
        <v>103</v>
      </c>
      <c r="I5" s="24">
        <f>'Area calculations'!$C7*'Costings - Green FI Nos.'!$D3*5/2</f>
        <v>71226527.041098475</v>
      </c>
      <c r="J5" s="24">
        <f>'Area calculations'!$C7*'Costings - Green FI Nos.'!$D3*5/2</f>
        <v>71226527.041098475</v>
      </c>
      <c r="K5" s="24">
        <f>'Area calculations'!$C7*'Costings - Green FI Nos.'!$D3*5/2</f>
        <v>71226527.041098475</v>
      </c>
      <c r="L5" s="24">
        <f>'Area calculations'!$C7*'Costings - Green FI Nos.'!$D3*5/2</f>
        <v>71226527.041098475</v>
      </c>
      <c r="M5" s="24">
        <f>'Area calculations'!$C7*'Costings - Green FI Nos.'!$D3*5/2</f>
        <v>71226527.041098475</v>
      </c>
      <c r="N5" s="24">
        <f>'Area calculations'!$C7*'Costings - Green FI Nos.'!$D3*5/2</f>
        <v>71226527.041098475</v>
      </c>
      <c r="O5" s="23" t="s">
        <v>115</v>
      </c>
    </row>
    <row r="6" spans="2:15" x14ac:dyDescent="0.25">
      <c r="B6" s="197" t="s">
        <v>107</v>
      </c>
      <c r="C6" s="27" t="s">
        <v>108</v>
      </c>
      <c r="D6" s="31">
        <f>'Costings - Gov numbers'!D6</f>
        <v>655.47500000000002</v>
      </c>
      <c r="E6" s="34" t="s">
        <v>175</v>
      </c>
      <c r="F6" s="200"/>
      <c r="G6" s="197"/>
      <c r="H6" s="23" t="s">
        <v>111</v>
      </c>
      <c r="I6" s="24">
        <f>'Area calculations'!$C7*'Costings - Green FI Nos.'!$D8*5</f>
        <v>387140000</v>
      </c>
      <c r="J6" s="24">
        <f>'Area calculations'!$C7*'Costings - Green FI Nos.'!$D8*5</f>
        <v>387140000</v>
      </c>
      <c r="K6" s="24">
        <f>'Area calculations'!$C7*'Costings - Green FI Nos.'!$D8*5</f>
        <v>387140000</v>
      </c>
      <c r="L6" s="24">
        <f>'Area calculations'!$C7*'Costings - Green FI Nos.'!$D8*5</f>
        <v>387140000</v>
      </c>
      <c r="M6" s="24">
        <f>'Area calculations'!$C7*'Costings - Green FI Nos.'!$D8*5</f>
        <v>387140000</v>
      </c>
      <c r="N6" s="24">
        <f>'Area calculations'!$C7*'Costings - Green FI Nos.'!$D8*5</f>
        <v>387140000</v>
      </c>
      <c r="O6" s="23" t="s">
        <v>159</v>
      </c>
    </row>
    <row r="7" spans="2:15" x14ac:dyDescent="0.25">
      <c r="B7" s="197"/>
      <c r="C7" s="27" t="s">
        <v>106</v>
      </c>
      <c r="D7" s="31">
        <v>320</v>
      </c>
      <c r="E7" s="30" t="s">
        <v>232</v>
      </c>
      <c r="F7" s="200"/>
      <c r="G7" s="197" t="s">
        <v>119</v>
      </c>
      <c r="H7" s="23" t="s">
        <v>120</v>
      </c>
      <c r="I7" s="24">
        <f>('Area calculations'!F5)*$D7*5</f>
        <v>1151993546.5038106</v>
      </c>
      <c r="J7" s="24">
        <f>('Area calculations'!G5)*$D7*5</f>
        <v>1151993546.5038106</v>
      </c>
      <c r="K7" s="24">
        <f>('Area calculations'!H5)*$D7*5</f>
        <v>1151993546.5038106</v>
      </c>
      <c r="L7" s="24">
        <f>('Area calculations'!I5)*$D7*5</f>
        <v>1151993546.5038106</v>
      </c>
      <c r="M7" s="24">
        <f>('Area calculations'!J5)*$D7*5</f>
        <v>1151993546.5038106</v>
      </c>
      <c r="N7" s="24">
        <f>('Area calculations'!K5)*$D7*5</f>
        <v>1151993546.5038106</v>
      </c>
      <c r="O7" s="37" t="s">
        <v>191</v>
      </c>
    </row>
    <row r="8" spans="2:15" x14ac:dyDescent="0.25">
      <c r="B8" s="197" t="s">
        <v>89</v>
      </c>
      <c r="C8" s="23" t="s">
        <v>109</v>
      </c>
      <c r="D8" s="24">
        <f>1489000000/(250000*10)</f>
        <v>595.6</v>
      </c>
      <c r="E8" s="33" t="s">
        <v>173</v>
      </c>
      <c r="F8" s="200"/>
      <c r="G8" s="197"/>
      <c r="H8" s="23" t="s">
        <v>116</v>
      </c>
      <c r="I8" s="24">
        <f>('Area calculations'!F20+'Area calculations'!F14)*'Costings - Green FI Nos.'!$D7*5/2</f>
        <v>44490080.800000027</v>
      </c>
      <c r="J8" s="24">
        <f>('Area calculations'!G20+'Area calculations'!G14)*'Costings - Green FI Nos.'!$D7*5/2</f>
        <v>78480850.475393936</v>
      </c>
      <c r="K8" s="24">
        <f>('Area calculations'!H20+'Area calculations'!H14)*'Costings - Green FI Nos.'!$D7*5/2</f>
        <v>78480850.475393936</v>
      </c>
      <c r="L8" s="24">
        <f>('Area calculations'!I20+'Area calculations'!I14)*'Costings - Green FI Nos.'!$D7*5/2</f>
        <v>78480850.475393936</v>
      </c>
      <c r="M8" s="24">
        <f>('Area calculations'!J20+'Area calculations'!J14)*'Costings - Green FI Nos.'!$D7*5/2</f>
        <v>78480850.475393936</v>
      </c>
      <c r="N8" s="24">
        <f>'Area calculations'!K20*'Costings - Green FI Nos.'!$D7*5/2</f>
        <v>33990770.475393906</v>
      </c>
      <c r="O8" s="23" t="s">
        <v>115</v>
      </c>
    </row>
    <row r="9" spans="2:15" x14ac:dyDescent="0.25">
      <c r="B9" s="197"/>
      <c r="C9" s="23" t="s">
        <v>106</v>
      </c>
      <c r="D9" s="24">
        <f>618000000/(250000*10)</f>
        <v>247.2</v>
      </c>
      <c r="E9" s="23" t="s">
        <v>174</v>
      </c>
      <c r="F9" s="200"/>
      <c r="G9" s="198" t="s">
        <v>89</v>
      </c>
      <c r="H9" s="27" t="s">
        <v>116</v>
      </c>
      <c r="I9" s="24"/>
      <c r="J9" s="24"/>
      <c r="K9" s="24"/>
      <c r="L9" s="24"/>
      <c r="M9" s="24"/>
      <c r="N9" s="24"/>
    </row>
    <row r="10" spans="2:15" x14ac:dyDescent="0.25">
      <c r="B10" s="197" t="s">
        <v>91</v>
      </c>
      <c r="C10" s="23" t="s">
        <v>109</v>
      </c>
      <c r="D10" s="24">
        <f>1489000000/(250000*10)</f>
        <v>595.6</v>
      </c>
      <c r="E10" s="23" t="s">
        <v>173</v>
      </c>
      <c r="F10" s="200"/>
      <c r="G10" s="198"/>
      <c r="H10" s="27" t="s">
        <v>106</v>
      </c>
      <c r="I10" s="24"/>
      <c r="J10" s="24"/>
      <c r="K10" s="24"/>
      <c r="L10" s="24"/>
      <c r="M10" s="24"/>
      <c r="N10" s="24"/>
    </row>
    <row r="11" spans="2:15" x14ac:dyDescent="0.25">
      <c r="B11" s="197"/>
      <c r="C11" s="23" t="s">
        <v>106</v>
      </c>
      <c r="D11" s="24">
        <f>618000000/(250000*10)</f>
        <v>247.2</v>
      </c>
      <c r="E11" s="23" t="s">
        <v>174</v>
      </c>
      <c r="F11" s="200"/>
      <c r="G11" s="198"/>
      <c r="H11" s="27" t="s">
        <v>111</v>
      </c>
      <c r="I11" s="24"/>
      <c r="J11" s="24"/>
      <c r="K11" s="24"/>
      <c r="L11" s="24"/>
      <c r="M11" s="24"/>
      <c r="N11" s="24"/>
    </row>
    <row r="12" spans="2:15" x14ac:dyDescent="0.25">
      <c r="B12" s="197" t="s">
        <v>88</v>
      </c>
      <c r="C12" s="23" t="s">
        <v>109</v>
      </c>
      <c r="D12" s="24">
        <f>1489000000/(250000*10)</f>
        <v>595.6</v>
      </c>
      <c r="E12" s="23" t="s">
        <v>173</v>
      </c>
      <c r="F12" s="200"/>
      <c r="G12" s="198" t="s">
        <v>91</v>
      </c>
      <c r="H12" s="27" t="s">
        <v>116</v>
      </c>
      <c r="I12" s="24"/>
      <c r="J12" s="24"/>
      <c r="K12" s="24"/>
      <c r="L12" s="24"/>
      <c r="M12" s="24"/>
      <c r="N12" s="24"/>
    </row>
    <row r="13" spans="2:15" x14ac:dyDescent="0.25">
      <c r="B13" s="197"/>
      <c r="C13" s="23" t="s">
        <v>106</v>
      </c>
      <c r="D13" s="24">
        <f>618000000/(250000*10)</f>
        <v>247.2</v>
      </c>
      <c r="E13" s="23" t="s">
        <v>174</v>
      </c>
      <c r="F13" s="200"/>
      <c r="G13" s="198"/>
      <c r="H13" s="27" t="s">
        <v>106</v>
      </c>
      <c r="I13" s="24"/>
      <c r="J13" s="24"/>
      <c r="K13" s="24"/>
      <c r="L13" s="24"/>
      <c r="M13" s="24"/>
      <c r="N13" s="24"/>
    </row>
    <row r="14" spans="2:15" x14ac:dyDescent="0.25">
      <c r="B14" s="197" t="s">
        <v>90</v>
      </c>
      <c r="C14" s="23" t="s">
        <v>109</v>
      </c>
      <c r="D14" s="24">
        <f>1489000000/(250000*10)</f>
        <v>595.6</v>
      </c>
      <c r="E14" s="23" t="s">
        <v>173</v>
      </c>
      <c r="F14" s="200"/>
      <c r="G14" s="198"/>
      <c r="H14" s="27" t="s">
        <v>111</v>
      </c>
      <c r="I14" s="24"/>
      <c r="J14" s="24"/>
      <c r="K14" s="24"/>
      <c r="L14" s="24"/>
      <c r="M14" s="24"/>
      <c r="N14" s="24"/>
    </row>
    <row r="15" spans="2:15" x14ac:dyDescent="0.25">
      <c r="B15" s="197"/>
      <c r="C15" s="23" t="s">
        <v>106</v>
      </c>
      <c r="D15" s="24">
        <f>618000000/(250000*10)</f>
        <v>247.2</v>
      </c>
      <c r="E15" s="23" t="s">
        <v>174</v>
      </c>
      <c r="F15" s="200"/>
      <c r="G15" s="198" t="s">
        <v>88</v>
      </c>
      <c r="H15" s="27" t="s">
        <v>116</v>
      </c>
      <c r="I15" s="24"/>
      <c r="J15" s="24"/>
      <c r="K15" s="24"/>
      <c r="L15" s="24"/>
      <c r="M15" s="24"/>
      <c r="N15" s="24"/>
    </row>
    <row r="16" spans="2:15" ht="15" customHeight="1" x14ac:dyDescent="0.25">
      <c r="B16" s="3" t="s">
        <v>95</v>
      </c>
      <c r="C16" s="23" t="s">
        <v>103</v>
      </c>
      <c r="D16" s="24"/>
      <c r="E16" s="23" t="s">
        <v>166</v>
      </c>
      <c r="F16" s="200"/>
      <c r="G16" s="198"/>
      <c r="H16" s="27" t="s">
        <v>106</v>
      </c>
      <c r="I16" s="24"/>
      <c r="J16" s="24"/>
      <c r="K16" s="24"/>
      <c r="L16" s="24"/>
      <c r="M16" s="24"/>
      <c r="N16" s="24"/>
    </row>
    <row r="17" spans="2:15" x14ac:dyDescent="0.25">
      <c r="D17" s="24"/>
      <c r="F17" s="200"/>
      <c r="G17" s="198"/>
      <c r="H17" s="27" t="s">
        <v>111</v>
      </c>
      <c r="I17" s="24"/>
      <c r="J17" s="24"/>
      <c r="K17" s="24"/>
      <c r="L17" s="24"/>
      <c r="M17" s="24"/>
      <c r="N17" s="24"/>
    </row>
    <row r="18" spans="2:15" x14ac:dyDescent="0.25">
      <c r="B18" s="3" t="s">
        <v>110</v>
      </c>
      <c r="D18" s="24"/>
      <c r="E18" s="23" t="s">
        <v>168</v>
      </c>
      <c r="F18" s="200"/>
      <c r="G18" s="198" t="s">
        <v>90</v>
      </c>
      <c r="H18" s="27" t="s">
        <v>116</v>
      </c>
      <c r="I18" s="24"/>
      <c r="J18" s="24"/>
      <c r="K18" s="24"/>
      <c r="L18" s="24"/>
      <c r="M18" s="24"/>
      <c r="N18" s="24"/>
    </row>
    <row r="19" spans="2:15" x14ac:dyDescent="0.25">
      <c r="F19" s="200"/>
      <c r="G19" s="198"/>
      <c r="H19" s="27" t="s">
        <v>106</v>
      </c>
      <c r="I19" s="24"/>
      <c r="J19" s="24"/>
      <c r="K19" s="24"/>
      <c r="L19" s="24"/>
      <c r="M19" s="24"/>
      <c r="N19" s="24"/>
    </row>
    <row r="20" spans="2:15" x14ac:dyDescent="0.25">
      <c r="F20" s="200"/>
      <c r="G20" s="198"/>
      <c r="H20" s="27" t="s">
        <v>111</v>
      </c>
      <c r="I20" s="24"/>
      <c r="J20" s="24"/>
      <c r="K20" s="24"/>
      <c r="L20" s="24"/>
      <c r="M20" s="24"/>
      <c r="N20" s="24"/>
    </row>
    <row r="21" spans="2:15" x14ac:dyDescent="0.25">
      <c r="F21" s="200"/>
      <c r="G21" s="197" t="s">
        <v>95</v>
      </c>
      <c r="H21" s="23" t="s">
        <v>103</v>
      </c>
      <c r="I21" s="24">
        <f>105000000*5/4</f>
        <v>131250000</v>
      </c>
      <c r="J21" s="24">
        <f t="shared" ref="J21:N21" si="0">105000000*5/4</f>
        <v>131250000</v>
      </c>
      <c r="K21" s="24">
        <f t="shared" si="0"/>
        <v>131250000</v>
      </c>
      <c r="L21" s="24">
        <f t="shared" si="0"/>
        <v>131250000</v>
      </c>
      <c r="M21" s="24">
        <f t="shared" si="0"/>
        <v>131250000</v>
      </c>
      <c r="N21" s="24">
        <f t="shared" si="0"/>
        <v>131250000</v>
      </c>
      <c r="O21" s="23" t="s">
        <v>115</v>
      </c>
    </row>
    <row r="22" spans="2:15" x14ac:dyDescent="0.25">
      <c r="F22" s="200"/>
      <c r="G22" s="197"/>
      <c r="H22" s="23" t="s">
        <v>111</v>
      </c>
      <c r="I22" s="24">
        <f>'Area calculations'!F25*'Costings - Green FI Nos.'!$D8*5</f>
        <v>27355908.000000004</v>
      </c>
      <c r="J22" s="24">
        <f>'Area calculations'!G25*'Costings - Green FI Nos.'!$D8*5</f>
        <v>27355908.000000004</v>
      </c>
      <c r="K22" s="24">
        <f>'Area calculations'!H25*'Costings - Green FI Nos.'!$D8*5</f>
        <v>27355908.000000004</v>
      </c>
      <c r="L22" s="24">
        <f>'Area calculations'!I25*'Costings - Green FI Nos.'!$D8*5</f>
        <v>27355908.000000004</v>
      </c>
      <c r="M22" s="24">
        <f>'Area calculations'!J25*'Costings - Green FI Nos.'!$D8*5</f>
        <v>27355908.000000004</v>
      </c>
      <c r="N22" s="24">
        <f>'Area calculations'!K25*'Costings - Green FI Nos.'!$D8*5</f>
        <v>27355908.000000004</v>
      </c>
      <c r="O22" s="23" t="s">
        <v>159</v>
      </c>
    </row>
    <row r="23" spans="2:15" ht="15" customHeight="1" x14ac:dyDescent="0.25">
      <c r="F23" s="22" t="s">
        <v>156</v>
      </c>
      <c r="G23" s="21"/>
      <c r="I23" s="25">
        <f>SUM(I3:I22)</f>
        <v>1870152080.9060588</v>
      </c>
      <c r="J23" s="25">
        <f t="shared" ref="J23:N23" si="1">SUM(J3:J22)</f>
        <v>1904142850.5814528</v>
      </c>
      <c r="K23" s="25">
        <f t="shared" si="1"/>
        <v>1904142850.5814528</v>
      </c>
      <c r="L23" s="25">
        <f t="shared" si="1"/>
        <v>1904142850.5814528</v>
      </c>
      <c r="M23" s="25">
        <f t="shared" si="1"/>
        <v>1904142850.5814528</v>
      </c>
      <c r="N23" s="25">
        <f t="shared" si="1"/>
        <v>1859652770.5814528</v>
      </c>
    </row>
    <row r="24" spans="2:15" x14ac:dyDescent="0.25">
      <c r="G24" s="3"/>
    </row>
    <row r="25" spans="2:15" ht="15" customHeight="1" x14ac:dyDescent="0.25">
      <c r="F25" s="200" t="s">
        <v>113</v>
      </c>
      <c r="G25" s="197" t="s">
        <v>104</v>
      </c>
      <c r="H25" s="23" t="s">
        <v>105</v>
      </c>
      <c r="I25" s="24">
        <f>'Area calculations'!F29*'Costings - Green FI Nos.'!$D4*5/2</f>
        <v>190300620.28672174</v>
      </c>
      <c r="J25" s="24">
        <f>'Area calculations'!G29*'Costings - Green FI Nos.'!$D4*5/2</f>
        <v>190300620.28672174</v>
      </c>
      <c r="K25" s="24">
        <f>'Area calculations'!H29*'Costings - Green FI Nos.'!$D4*5/2</f>
        <v>190300620.28672174</v>
      </c>
      <c r="L25" s="24">
        <f>'Area calculations'!I29*'Costings - Green FI Nos.'!$D4*5/2</f>
        <v>190300620.28672174</v>
      </c>
      <c r="M25" s="24">
        <f>'Area calculations'!J29*'Costings - Green FI Nos.'!$D4*5/2</f>
        <v>190300620.28672174</v>
      </c>
      <c r="N25" s="24">
        <f>'Area calculations'!K29*'Costings - Green FI Nos.'!$D4*5/2</f>
        <v>190300620.28672174</v>
      </c>
      <c r="O25" s="23" t="s">
        <v>115</v>
      </c>
    </row>
    <row r="26" spans="2:15" x14ac:dyDescent="0.25">
      <c r="F26" s="200"/>
      <c r="G26" s="197"/>
      <c r="H26" s="23" t="s">
        <v>106</v>
      </c>
      <c r="I26" s="24">
        <f>'Area calculations'!F29*'Costings - Green FI Nos.'!$D5*5/2</f>
        <v>9458729.0556713771</v>
      </c>
      <c r="J26" s="24">
        <f>'Area calculations'!G29*'Costings - Green FI Nos.'!$D5*5/2</f>
        <v>9458729.0556713771</v>
      </c>
      <c r="K26" s="24">
        <f>'Area calculations'!H29*'Costings - Green FI Nos.'!$D5*5/2</f>
        <v>9458729.0556713771</v>
      </c>
      <c r="L26" s="24">
        <f>'Area calculations'!I29*'Costings - Green FI Nos.'!$D5*5/2</f>
        <v>9458729.0556713771</v>
      </c>
      <c r="M26" s="24">
        <f>'Area calculations'!J29*'Costings - Green FI Nos.'!$D5*5/2</f>
        <v>9458729.0556713771</v>
      </c>
      <c r="N26" s="24">
        <f>'Area calculations'!K29*'Costings - Green FI Nos.'!$D5*5/2</f>
        <v>9458729.0556713771</v>
      </c>
      <c r="O26" s="23" t="s">
        <v>115</v>
      </c>
    </row>
    <row r="27" spans="2:15" x14ac:dyDescent="0.25">
      <c r="F27" s="200"/>
      <c r="G27" s="197"/>
      <c r="H27" s="23" t="s">
        <v>111</v>
      </c>
      <c r="I27" s="24">
        <f>'Area calculations'!F29*'Costings - Green FI Nos.'!$D8*5</f>
        <v>208460000</v>
      </c>
      <c r="J27" s="24">
        <f>'Area calculations'!G29*'Costings - Green FI Nos.'!$D8*5</f>
        <v>208460000</v>
      </c>
      <c r="K27" s="24">
        <f>'Area calculations'!H29*'Costings - Green FI Nos.'!$D8*5</f>
        <v>208460000</v>
      </c>
      <c r="L27" s="24">
        <f>'Area calculations'!I29*'Costings - Green FI Nos.'!$D8*5</f>
        <v>208460000</v>
      </c>
      <c r="M27" s="24">
        <f>'Area calculations'!J29*'Costings - Green FI Nos.'!$D8*5</f>
        <v>208460000</v>
      </c>
      <c r="N27" s="24">
        <f>'Area calculations'!K29*'Costings - Green FI Nos.'!$D8*5</f>
        <v>208460000</v>
      </c>
      <c r="O27" s="23" t="s">
        <v>159</v>
      </c>
    </row>
    <row r="28" spans="2:15" x14ac:dyDescent="0.25">
      <c r="F28" s="200"/>
      <c r="G28" s="201" t="s">
        <v>167</v>
      </c>
      <c r="H28" s="23" t="s">
        <v>108</v>
      </c>
      <c r="I28" s="24">
        <f>'Area calculations'!F30*$D8*5/2</f>
        <v>190862609.49010965</v>
      </c>
      <c r="J28" s="24">
        <f>'Area calculations'!G30*$D8*5/2</f>
        <v>190862609.49010965</v>
      </c>
      <c r="K28" s="24">
        <f>'Area calculations'!H30*$D8*5/2</f>
        <v>190862609.49010965</v>
      </c>
      <c r="L28" s="24">
        <f>'Area calculations'!I30*$D8*5/2</f>
        <v>190862609.49010965</v>
      </c>
      <c r="M28" s="24">
        <f>'Area calculations'!J30*$D8*5/2</f>
        <v>190862609.49010965</v>
      </c>
      <c r="N28" s="24">
        <f>'Area calculations'!K30*$D8*5/2</f>
        <v>190862609.49010965</v>
      </c>
      <c r="O28" s="23" t="s">
        <v>115</v>
      </c>
    </row>
    <row r="29" spans="2:15" x14ac:dyDescent="0.25">
      <c r="F29" s="200"/>
      <c r="G29" s="201"/>
      <c r="H29" s="23" t="s">
        <v>106</v>
      </c>
      <c r="I29" s="24">
        <f>'Area calculations'!F30*'Costings - Green FI Nos.'!$D11*5/2</f>
        <v>79216314.751435697</v>
      </c>
      <c r="J29" s="24">
        <f>'Area calculations'!G30*'Costings - Green FI Nos.'!$D11*5/2</f>
        <v>79216314.751435697</v>
      </c>
      <c r="K29" s="24">
        <f>'Area calculations'!H30*'Costings - Green FI Nos.'!$D11*5/2</f>
        <v>79216314.751435697</v>
      </c>
      <c r="L29" s="24">
        <f>'Area calculations'!I30*'Costings - Green FI Nos.'!$D11*5/2</f>
        <v>79216314.751435697</v>
      </c>
      <c r="M29" s="24">
        <f>'Area calculations'!J30*'Costings - Green FI Nos.'!$D11*5/2</f>
        <v>79216314.751435697</v>
      </c>
      <c r="N29" s="24">
        <f>'Area calculations'!K30*'Costings - Green FI Nos.'!$D11*5/2</f>
        <v>79216314.751435697</v>
      </c>
      <c r="O29" s="23" t="s">
        <v>115</v>
      </c>
    </row>
    <row r="30" spans="2:15" x14ac:dyDescent="0.25">
      <c r="F30" s="200"/>
      <c r="G30" s="201"/>
      <c r="H30" s="23" t="s">
        <v>111</v>
      </c>
      <c r="I30" s="24">
        <f>'Area calculations'!F30*'Costings - Green FI Nos.'!$D8*5</f>
        <v>381725218.9802193</v>
      </c>
      <c r="J30" s="24">
        <f>'Area calculations'!G30*'Costings - Green FI Nos.'!$D8*5</f>
        <v>381725218.9802193</v>
      </c>
      <c r="K30" s="24">
        <f>'Area calculations'!H30*'Costings - Green FI Nos.'!$D8*5</f>
        <v>381725218.9802193</v>
      </c>
      <c r="L30" s="24">
        <f>'Area calculations'!I30*'Costings - Green FI Nos.'!$D8*5</f>
        <v>381725218.9802193</v>
      </c>
      <c r="M30" s="24">
        <f>'Area calculations'!J30*'Costings - Green FI Nos.'!$D8*5</f>
        <v>381725218.9802193</v>
      </c>
      <c r="N30" s="24">
        <f>'Area calculations'!K30*'Costings - Green FI Nos.'!$D8*5</f>
        <v>381725218.9802193</v>
      </c>
      <c r="O30" s="23" t="s">
        <v>159</v>
      </c>
    </row>
    <row r="31" spans="2:15" x14ac:dyDescent="0.25">
      <c r="F31" s="200"/>
      <c r="G31" s="197" t="s">
        <v>89</v>
      </c>
      <c r="H31" s="23" t="s">
        <v>109</v>
      </c>
      <c r="I31" s="24">
        <f>'Area calculations'!F33*'Costings - Green FI Nos.'!$D9*5/2</f>
        <v>0</v>
      </c>
      <c r="J31" s="24">
        <f>'Area calculations'!G33*'Costings - Green FI Nos.'!$D9*5/2</f>
        <v>0</v>
      </c>
      <c r="K31" s="24">
        <f>'Area calculations'!H33*'Costings - Green FI Nos.'!$D9*5/2</f>
        <v>337449.99825423735</v>
      </c>
      <c r="L31" s="24">
        <f>'Area calculations'!I33*'Costings - Green FI Nos.'!$D9*5/2</f>
        <v>7321887.7109520584</v>
      </c>
      <c r="M31" s="24">
        <f>'Area calculations'!J33*'Costings - Green FI Nos.'!$D9*5/2</f>
        <v>13069216.799999999</v>
      </c>
      <c r="N31" s="24">
        <f>'Area calculations'!K33*'Costings - Green FI Nos.'!$D9*5/2</f>
        <v>13069216.799999999</v>
      </c>
    </row>
    <row r="32" spans="2:15" x14ac:dyDescent="0.25">
      <c r="F32" s="200"/>
      <c r="G32" s="197"/>
      <c r="H32" s="23" t="s">
        <v>106</v>
      </c>
      <c r="I32" s="24">
        <f>'Area calculations'!F33*'Costings - Green FI Nos.'!$D7*5/2</f>
        <v>0</v>
      </c>
      <c r="J32" s="24">
        <f>'Area calculations'!G33*'Costings - Green FI Nos.'!$D7*5/2</f>
        <v>0</v>
      </c>
      <c r="K32" s="24">
        <f>'Area calculations'!H33*'Costings - Green FI Nos.'!$D7*5/2</f>
        <v>436828.47670451441</v>
      </c>
      <c r="L32" s="24">
        <f>'Area calculations'!I33*'Costings - Green FI Nos.'!$D7*5/2</f>
        <v>9478171.7941126972</v>
      </c>
      <c r="M32" s="24">
        <f>'Area calculations'!J33*'Costings - Green FI Nos.'!$D7*5/2</f>
        <v>16918080</v>
      </c>
      <c r="N32" s="24">
        <f>'Area calculations'!K33*'Costings - Green FI Nos.'!$D7*5/2</f>
        <v>16918080</v>
      </c>
    </row>
    <row r="33" spans="6:15" x14ac:dyDescent="0.25">
      <c r="F33" s="200"/>
      <c r="G33" s="197"/>
      <c r="H33" s="23" t="s">
        <v>111</v>
      </c>
      <c r="I33" s="24">
        <f>'Area calculations'!F33*'Costings - Green FI Nos.'!$D8*5</f>
        <v>0</v>
      </c>
      <c r="J33" s="24">
        <f>'Area calculations'!G33*'Costings - Green FI Nos.'!$D8*5</f>
        <v>0</v>
      </c>
      <c r="K33" s="24">
        <f>'Area calculations'!H33*'Costings - Green FI Nos.'!$D8*5</f>
        <v>1626094.0045325549</v>
      </c>
      <c r="L33" s="24">
        <f>'Area calculations'!I33*'Costings - Green FI Nos.'!$D8*5</f>
        <v>35282494.503584519</v>
      </c>
      <c r="M33" s="24">
        <f>'Area calculations'!J33*'Costings - Green FI Nos.'!$D8*5</f>
        <v>62977552.800000004</v>
      </c>
      <c r="N33" s="24">
        <f>'Area calculations'!K33*'Costings - Green FI Nos.'!$D8*5</f>
        <v>62977552.800000004</v>
      </c>
      <c r="O33" s="23" t="s">
        <v>159</v>
      </c>
    </row>
    <row r="34" spans="6:15" x14ac:dyDescent="0.25">
      <c r="F34" s="200"/>
      <c r="G34" s="197" t="s">
        <v>91</v>
      </c>
      <c r="H34" s="23" t="s">
        <v>109</v>
      </c>
      <c r="I34" s="24">
        <f>'Area calculations'!F34*'Costings - Green FI Nos.'!$D11*5/2</f>
        <v>0</v>
      </c>
      <c r="J34" s="24">
        <f>'Area calculations'!G34*'Costings - Green FI Nos.'!$D11*5/2</f>
        <v>0</v>
      </c>
      <c r="K34" s="24">
        <f>'Area calculations'!H34*'Costings - Green FI Nos.'!$D11*5/2</f>
        <v>148246.39989361414</v>
      </c>
      <c r="L34" s="24">
        <f>'Area calculations'!I34*'Costings - Green FI Nos.'!$D11*5/2</f>
        <v>3216605.4206234035</v>
      </c>
      <c r="M34" s="24">
        <f>'Area calculations'!J34*'Costings - Green FI Nos.'!$D11*5/2</f>
        <v>11992595.545776168</v>
      </c>
      <c r="N34" s="24">
        <f>'Area calculations'!K34*'Costings - Green FI Nos.'!$D11*5/2</f>
        <v>21310796.530400544</v>
      </c>
    </row>
    <row r="35" spans="6:15" x14ac:dyDescent="0.25">
      <c r="F35" s="200"/>
      <c r="G35" s="197"/>
      <c r="H35" s="23" t="s">
        <v>106</v>
      </c>
      <c r="I35" s="24">
        <f>'Area calculations'!F34*'Costings - Green FI Nos.'!$D7*5/2</f>
        <v>0</v>
      </c>
      <c r="J35" s="24">
        <f>'Area calculations'!G34*'Costings - Green FI Nos.'!$D7*5/2</f>
        <v>0</v>
      </c>
      <c r="K35" s="24">
        <f>'Area calculations'!H34*'Costings - Green FI Nos.'!$D7*5/2</f>
        <v>191904.72478137753</v>
      </c>
      <c r="L35" s="24">
        <f>'Area calculations'!I34*'Costings - Green FI Nos.'!$D7*5/2</f>
        <v>4163890.5121338558</v>
      </c>
      <c r="M35" s="24">
        <f>'Area calculations'!J34*'Costings - Green FI Nos.'!$D7*5/2</f>
        <v>15524395.528512839</v>
      </c>
      <c r="N35" s="24">
        <f>'Area calculations'!K34*'Costings - Green FI Nos.'!$D7*5/2</f>
        <v>27586791.625113972</v>
      </c>
    </row>
    <row r="36" spans="6:15" x14ac:dyDescent="0.25">
      <c r="F36" s="200"/>
      <c r="G36" s="197"/>
      <c r="H36" s="23" t="s">
        <v>111</v>
      </c>
      <c r="I36" s="24">
        <f>'Area calculations'!F34*'Costings - Green FI Nos.'!$D8*5</f>
        <v>0</v>
      </c>
      <c r="J36" s="24">
        <f>'Area calculations'!G34*'Costings - Green FI Nos.'!$D8*5</f>
        <v>0</v>
      </c>
      <c r="K36" s="24">
        <f>'Area calculations'!H34*'Costings - Green FI Nos.'!$D8*5</f>
        <v>714365.33799867786</v>
      </c>
      <c r="L36" s="24">
        <f>'Area calculations'!I34*'Costings - Green FI Nos.'!$D8*5</f>
        <v>15500082.431418281</v>
      </c>
      <c r="M36" s="24">
        <f>'Area calculations'!J34*'Costings - Green FI Nos.'!$D8*5</f>
        <v>57789562.35488905</v>
      </c>
      <c r="N36" s="24">
        <f>'Area calculations'!K34*'Costings - Green FI Nos.'!$D8*5</f>
        <v>102691831.82448676</v>
      </c>
      <c r="O36" s="23" t="s">
        <v>159</v>
      </c>
    </row>
    <row r="37" spans="6:15" x14ac:dyDescent="0.25">
      <c r="F37" s="200"/>
      <c r="G37" s="197" t="s">
        <v>88</v>
      </c>
      <c r="H37" s="23" t="s">
        <v>109</v>
      </c>
      <c r="I37" s="24">
        <f>'Area calculations'!F35*'Costings - Green FI Nos.'!$D13*5/2</f>
        <v>0</v>
      </c>
      <c r="J37" s="24">
        <f>'Area calculations'!G35*'Costings - Green FI Nos.'!$D13*5/2</f>
        <v>0</v>
      </c>
      <c r="K37" s="24">
        <f>'Area calculations'!H35*'Costings - Green FI Nos.'!$D13*5/2</f>
        <v>1172137.6284037258</v>
      </c>
      <c r="L37" s="24">
        <f>'Area calculations'!I35*'Costings - Green FI Nos.'!$D13*5/2</f>
        <v>25432686.742786091</v>
      </c>
      <c r="M37" s="24">
        <f>'Area calculations'!J35*'Costings - Green FI Nos.'!$D13*5/2</f>
        <v>94821678.715428174</v>
      </c>
      <c r="N37" s="24">
        <f>'Area calculations'!K35*'Costings - Green FI Nos.'!$D13*5/2</f>
        <v>168497761.31132907</v>
      </c>
    </row>
    <row r="38" spans="6:15" x14ac:dyDescent="0.25">
      <c r="F38" s="200"/>
      <c r="G38" s="197"/>
      <c r="H38" s="23" t="s">
        <v>106</v>
      </c>
      <c r="I38" s="24">
        <f>'Area calculations'!F35*'Costings - Green FI Nos.'!$D7*5/2</f>
        <v>0</v>
      </c>
      <c r="J38" s="24">
        <f>'Area calculations'!G35*'Costings - Green FI Nos.'!$D7*5/2</f>
        <v>0</v>
      </c>
      <c r="K38" s="24">
        <f>'Area calculations'!H35*'Costings - Green FI Nos.'!$D7*5/2</f>
        <v>1517330.263305794</v>
      </c>
      <c r="L38" s="24">
        <f>'Area calculations'!I35*'Costings - Green FI Nos.'!$D7*5/2</f>
        <v>32922571.835321799</v>
      </c>
      <c r="M38" s="24">
        <f>'Area calculations'!J35*'Costings - Green FI Nos.'!$D7*5/2</f>
        <v>122746509.6639847</v>
      </c>
      <c r="N38" s="24">
        <f>'Area calculations'!K35*'Costings - Green FI Nos.'!$D7*5/2</f>
        <v>218120079.36741632</v>
      </c>
    </row>
    <row r="39" spans="6:15" x14ac:dyDescent="0.25">
      <c r="F39" s="200"/>
      <c r="G39" s="197"/>
      <c r="H39" s="23" t="s">
        <v>111</v>
      </c>
      <c r="I39" s="24">
        <f>'Area calculations'!F35*'Costings - Green FI Nos.'!$D8*5</f>
        <v>0</v>
      </c>
      <c r="J39" s="24">
        <f>'Area calculations'!G35*'Costings - Green FI Nos.'!$D8*5</f>
        <v>0</v>
      </c>
      <c r="K39" s="24">
        <f>'Area calculations'!H35*'Costings - Green FI Nos.'!$D8*5</f>
        <v>5648261.9051558189</v>
      </c>
      <c r="L39" s="24">
        <f>'Area calculations'!I35*'Costings - Green FI Nos.'!$D8*5</f>
        <v>122554273.6569854</v>
      </c>
      <c r="M39" s="24">
        <f>'Area calculations'!J35*'Costings - Green FI Nos.'!$D8*5</f>
        <v>456923882.22418302</v>
      </c>
      <c r="N39" s="24">
        <f>'Area calculations'!K35*'Costings - Green FI Nos.'!$D8*5</f>
        <v>811951995.44520724</v>
      </c>
      <c r="O39" s="23" t="s">
        <v>159</v>
      </c>
    </row>
    <row r="40" spans="6:15" x14ac:dyDescent="0.25">
      <c r="F40" s="200"/>
      <c r="G40" s="197" t="s">
        <v>90</v>
      </c>
      <c r="H40" s="23" t="s">
        <v>109</v>
      </c>
      <c r="I40" s="24">
        <f>'Area calculations'!F36*'Costings - Green FI Nos.'!$D15</f>
        <v>0</v>
      </c>
      <c r="J40" s="24">
        <f>'Area calculations'!G36*'Costings - Green FI Nos.'!$D15</f>
        <v>0</v>
      </c>
      <c r="K40" s="24">
        <f>'Area calculations'!H36*'Costings - Green FI Nos.'!$D15</f>
        <v>100399.52926959212</v>
      </c>
      <c r="L40" s="24">
        <f>'Area calculations'!I36*'Costings - Green FI Nos.'!$D15</f>
        <v>2178438.5341456062</v>
      </c>
      <c r="M40" s="24">
        <f>'Area calculations'!J36*'Costings - Green FI Nos.'!$D15</f>
        <v>8121957.4194084723</v>
      </c>
      <c r="N40" s="24">
        <f>'Area calculations'!K36*'Costings - Green FI Nos.'!$D15</f>
        <v>14432687.347198352</v>
      </c>
    </row>
    <row r="41" spans="6:15" x14ac:dyDescent="0.25">
      <c r="F41" s="200"/>
      <c r="G41" s="197"/>
      <c r="H41" s="23" t="s">
        <v>106</v>
      </c>
      <c r="I41" s="24">
        <f>'Area calculations'!F36*'Costings - Green FI Nos.'!$D7</f>
        <v>0</v>
      </c>
      <c r="J41" s="24">
        <f>'Area calculations'!G36*'Costings - Green FI Nos.'!$D7</f>
        <v>0</v>
      </c>
      <c r="K41" s="24">
        <f>'Area calculations'!H36*'Costings - Green FI Nos.'!$D7</f>
        <v>129967.02818070177</v>
      </c>
      <c r="L41" s="24">
        <f>'Area calculations'!I36*'Costings - Green FI Nos.'!$D7</f>
        <v>2819985.157470041</v>
      </c>
      <c r="M41" s="24">
        <f>'Area calculations'!J36*'Costings - Green FI Nos.'!$D7</f>
        <v>10513860.737098346</v>
      </c>
      <c r="N41" s="24">
        <f>'Area calculations'!K36*'Costings - Green FI Nos.'!$D7</f>
        <v>18683090.417085245</v>
      </c>
    </row>
    <row r="42" spans="6:15" x14ac:dyDescent="0.25">
      <c r="F42" s="22" t="s">
        <v>156</v>
      </c>
      <c r="G42" s="197"/>
      <c r="H42" s="23" t="s">
        <v>111</v>
      </c>
      <c r="I42" s="24">
        <f>'Area calculations'!F36*'Costings - Green FI Nos.'!$D8*5</f>
        <v>0</v>
      </c>
      <c r="J42" s="24">
        <f>'Area calculations'!G36*'Costings - Green FI Nos.'!$D8*5</f>
        <v>0</v>
      </c>
      <c r="K42" s="24">
        <f>'Area calculations'!H36*'Costings - Green FI Nos.'!$D8*5</f>
        <v>1209505.6560066561</v>
      </c>
      <c r="L42" s="24">
        <f>'Area calculations'!I36*'Costings - Green FI Nos.'!$D8*5</f>
        <v>26243486.871705569</v>
      </c>
      <c r="M42" s="24">
        <f>'Area calculations'!J36*'Costings - Green FI Nos.'!$D8*5</f>
        <v>97844616.48462148</v>
      </c>
      <c r="N42" s="24">
        <f>'Area calculations'!K36*'Costings - Green FI Nos.'!$D8*5</f>
        <v>173869510.19399956</v>
      </c>
      <c r="O42" s="23" t="s">
        <v>159</v>
      </c>
    </row>
    <row r="43" spans="6:15" x14ac:dyDescent="0.25">
      <c r="F43" s="22"/>
      <c r="I43" s="25">
        <f>SUM(I25:I42)</f>
        <v>1060023492.5641577</v>
      </c>
      <c r="J43" s="25">
        <f t="shared" ref="J43:N43" si="2">SUM(J25:J42)</f>
        <v>1060023492.5641577</v>
      </c>
      <c r="K43" s="25">
        <f t="shared" si="2"/>
        <v>1073255983.516645</v>
      </c>
      <c r="L43" s="25">
        <f t="shared" si="2"/>
        <v>1347138067.7353969</v>
      </c>
      <c r="M43" s="25">
        <f t="shared" si="2"/>
        <v>2029267400.8380604</v>
      </c>
      <c r="N43" s="25">
        <f t="shared" si="2"/>
        <v>2710132886.2263951</v>
      </c>
    </row>
    <row r="44" spans="6:15" ht="15.75" x14ac:dyDescent="0.25">
      <c r="F44" s="19" t="s">
        <v>82</v>
      </c>
    </row>
    <row r="45" spans="6:15" ht="15.75" x14ac:dyDescent="0.25">
      <c r="G45" s="28"/>
      <c r="H45" s="28"/>
      <c r="I45" s="29">
        <f>I23+I43</f>
        <v>2930175573.4702168</v>
      </c>
      <c r="J45" s="29">
        <f t="shared" ref="J45:N45" si="3">J23+J43</f>
        <v>2964166343.1456108</v>
      </c>
      <c r="K45" s="29">
        <f t="shared" si="3"/>
        <v>2977398834.0980978</v>
      </c>
      <c r="L45" s="29">
        <f t="shared" si="3"/>
        <v>3251280918.3168497</v>
      </c>
      <c r="M45" s="29">
        <f t="shared" si="3"/>
        <v>3933410251.4195132</v>
      </c>
      <c r="N45" s="29">
        <f t="shared" si="3"/>
        <v>4569785656.807848</v>
      </c>
    </row>
  </sheetData>
  <mergeCells count="22">
    <mergeCell ref="G37:G39"/>
    <mergeCell ref="G40:G42"/>
    <mergeCell ref="B12:B13"/>
    <mergeCell ref="B14:B15"/>
    <mergeCell ref="G15:G17"/>
    <mergeCell ref="G18:G20"/>
    <mergeCell ref="G21:G22"/>
    <mergeCell ref="F25:F41"/>
    <mergeCell ref="G25:G27"/>
    <mergeCell ref="G28:G30"/>
    <mergeCell ref="G31:G33"/>
    <mergeCell ref="G34:G36"/>
    <mergeCell ref="F3:F22"/>
    <mergeCell ref="G3:G4"/>
    <mergeCell ref="B4:B5"/>
    <mergeCell ref="G5:G6"/>
    <mergeCell ref="G12:G14"/>
    <mergeCell ref="B6:B7"/>
    <mergeCell ref="G7:G8"/>
    <mergeCell ref="B8:B9"/>
    <mergeCell ref="G9:G11"/>
    <mergeCell ref="B10:B11"/>
  </mergeCells>
  <hyperlinks>
    <hyperlink ref="E7" r:id="rId1" xr:uid="{531C3CB9-DC7A-4DB2-AD35-2CFE7002DBBE}"/>
    <hyperlink ref="B1" r:id="rId2" xr:uid="{1BBAF6F7-9355-4EF2-A736-191F8644902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7E4D-5EB8-42B5-B834-FBA3D425F214}">
  <dimension ref="B1:P64"/>
  <sheetViews>
    <sheetView topLeftCell="A55" workbookViewId="0">
      <selection activeCell="L24" sqref="L24"/>
    </sheetView>
  </sheetViews>
  <sheetFormatPr defaultColWidth="9.140625" defaultRowHeight="15.75" x14ac:dyDescent="0.25"/>
  <cols>
    <col min="1" max="1" width="9.140625" style="28"/>
    <col min="2" max="2" width="63.140625" style="28" customWidth="1"/>
    <col min="3" max="3" width="24.42578125" style="28" customWidth="1"/>
    <col min="4" max="4" width="9.140625" style="28"/>
    <col min="5" max="5" width="18.5703125" style="28" customWidth="1"/>
    <col min="6" max="6" width="9.5703125" style="28" bestFit="1" customWidth="1"/>
    <col min="7" max="7" width="16.42578125" style="28" customWidth="1"/>
    <col min="8" max="16384" width="9.140625" style="28"/>
  </cols>
  <sheetData>
    <row r="1" spans="2:16" ht="16.5" thickBot="1" x14ac:dyDescent="0.3"/>
    <row r="2" spans="2:16" ht="16.5" thickBot="1" x14ac:dyDescent="0.3">
      <c r="B2" s="171" t="s">
        <v>254</v>
      </c>
      <c r="C2" s="175" t="s">
        <v>20</v>
      </c>
      <c r="D2" s="19"/>
      <c r="E2" s="171" t="s">
        <v>92</v>
      </c>
      <c r="F2" s="35" t="s">
        <v>1</v>
      </c>
      <c r="G2" s="172" t="s">
        <v>10</v>
      </c>
      <c r="H2" s="19"/>
      <c r="I2" s="19"/>
      <c r="J2" s="19"/>
      <c r="K2" s="19"/>
      <c r="L2" s="19"/>
      <c r="M2" s="19"/>
      <c r="N2" s="19" t="s">
        <v>93</v>
      </c>
      <c r="O2" s="19"/>
    </row>
    <row r="3" spans="2:16" x14ac:dyDescent="0.25">
      <c r="B3" s="173" t="s">
        <v>21</v>
      </c>
      <c r="C3" s="181">
        <v>187.94926386610001</v>
      </c>
      <c r="E3" s="179" t="s">
        <v>89</v>
      </c>
      <c r="F3" s="188">
        <v>81023.199999999997</v>
      </c>
      <c r="G3" s="180"/>
      <c r="N3" s="19" t="s">
        <v>83</v>
      </c>
      <c r="O3" s="19" t="s">
        <v>84</v>
      </c>
    </row>
    <row r="4" spans="2:16" x14ac:dyDescent="0.25">
      <c r="B4" s="83" t="s">
        <v>22</v>
      </c>
      <c r="C4" s="182">
        <v>39391.920984495504</v>
      </c>
      <c r="E4" s="176" t="s">
        <v>91</v>
      </c>
      <c r="F4" s="189">
        <v>35594.6</v>
      </c>
      <c r="G4" s="158" t="s">
        <v>255</v>
      </c>
      <c r="N4" s="170">
        <v>90226.406172856703</v>
      </c>
      <c r="O4" s="170">
        <v>170652.17551874567</v>
      </c>
      <c r="P4" s="170">
        <f>SUM(N4:O4)</f>
        <v>260878.58169160236</v>
      </c>
    </row>
    <row r="5" spans="2:16" x14ac:dyDescent="0.25">
      <c r="B5" s="83" t="s">
        <v>23</v>
      </c>
      <c r="C5" s="182">
        <v>271.9269594379</v>
      </c>
      <c r="E5" s="177" t="s">
        <v>88</v>
      </c>
      <c r="F5" s="190">
        <v>281435.3</v>
      </c>
      <c r="G5" s="102"/>
    </row>
    <row r="6" spans="2:16" ht="16.5" thickBot="1" x14ac:dyDescent="0.3">
      <c r="B6" s="83" t="s">
        <v>24</v>
      </c>
      <c r="C6" s="182">
        <v>31.095402576300003</v>
      </c>
      <c r="E6" s="178" t="s">
        <v>90</v>
      </c>
      <c r="F6" s="191">
        <v>60265.9</v>
      </c>
      <c r="G6" s="104"/>
      <c r="N6" s="19" t="s">
        <v>94</v>
      </c>
    </row>
    <row r="7" spans="2:16" x14ac:dyDescent="0.25">
      <c r="B7" s="83" t="s">
        <v>25</v>
      </c>
      <c r="C7" s="182">
        <v>2.9916775504999999</v>
      </c>
      <c r="N7" s="19" t="s">
        <v>83</v>
      </c>
      <c r="O7" s="19" t="s">
        <v>84</v>
      </c>
    </row>
    <row r="8" spans="2:16" x14ac:dyDescent="0.25">
      <c r="B8" s="83" t="s">
        <v>26</v>
      </c>
      <c r="C8" s="182">
        <v>10172.546310575599</v>
      </c>
      <c r="N8" s="28">
        <v>7383</v>
      </c>
      <c r="O8" s="28">
        <v>7927</v>
      </c>
      <c r="P8" s="170">
        <f>SUM(N8:O8)</f>
        <v>15310</v>
      </c>
    </row>
    <row r="9" spans="2:16" x14ac:dyDescent="0.25">
      <c r="B9" s="83" t="s">
        <v>27</v>
      </c>
      <c r="C9" s="182">
        <v>6.4230096697999999</v>
      </c>
    </row>
    <row r="10" spans="2:16" x14ac:dyDescent="0.25">
      <c r="B10" s="83" t="s">
        <v>28</v>
      </c>
      <c r="C10" s="182">
        <v>3915.7944676846</v>
      </c>
    </row>
    <row r="11" spans="2:16" x14ac:dyDescent="0.25">
      <c r="B11" s="83" t="s">
        <v>29</v>
      </c>
      <c r="C11" s="182">
        <v>15.6860021725</v>
      </c>
    </row>
    <row r="12" spans="2:16" x14ac:dyDescent="0.25">
      <c r="B12" s="83" t="s">
        <v>30</v>
      </c>
      <c r="C12" s="182">
        <v>23.092179844399997</v>
      </c>
    </row>
    <row r="13" spans="2:16" x14ac:dyDescent="0.25">
      <c r="B13" s="83" t="s">
        <v>31</v>
      </c>
      <c r="C13" s="182">
        <v>34.4970596199</v>
      </c>
    </row>
    <row r="14" spans="2:16" x14ac:dyDescent="0.25">
      <c r="B14" s="83" t="s">
        <v>32</v>
      </c>
      <c r="C14" s="182">
        <v>30.624298411800002</v>
      </c>
    </row>
    <row r="15" spans="2:16" x14ac:dyDescent="0.25">
      <c r="B15" s="83" t="s">
        <v>33</v>
      </c>
      <c r="C15" s="182">
        <v>61.331702784899996</v>
      </c>
    </row>
    <row r="16" spans="2:16" x14ac:dyDescent="0.25">
      <c r="B16" s="83" t="s">
        <v>34</v>
      </c>
      <c r="C16" s="182">
        <v>20.509129938800001</v>
      </c>
    </row>
    <row r="17" spans="2:3" x14ac:dyDescent="0.25">
      <c r="B17" s="83" t="s">
        <v>35</v>
      </c>
      <c r="C17" s="182">
        <v>0.98065620639999995</v>
      </c>
    </row>
    <row r="18" spans="2:3" x14ac:dyDescent="0.25">
      <c r="B18" s="83" t="s">
        <v>36</v>
      </c>
      <c r="C18" s="182">
        <v>952.93811385959998</v>
      </c>
    </row>
    <row r="19" spans="2:3" x14ac:dyDescent="0.25">
      <c r="B19" s="83" t="s">
        <v>37</v>
      </c>
      <c r="C19" s="182">
        <v>2.6804929199999997E-2</v>
      </c>
    </row>
    <row r="20" spans="2:3" x14ac:dyDescent="0.25">
      <c r="B20" s="83" t="s">
        <v>38</v>
      </c>
      <c r="C20" s="182">
        <v>2.8353128660999998</v>
      </c>
    </row>
    <row r="21" spans="2:3" x14ac:dyDescent="0.25">
      <c r="B21" s="83" t="s">
        <v>39</v>
      </c>
      <c r="C21" s="183">
        <v>87.349973379099993</v>
      </c>
    </row>
    <row r="22" spans="2:3" x14ac:dyDescent="0.25">
      <c r="B22" s="83" t="s">
        <v>40</v>
      </c>
      <c r="C22" s="183">
        <v>1374.4295040362999</v>
      </c>
    </row>
    <row r="23" spans="2:3" x14ac:dyDescent="0.25">
      <c r="B23" s="83" t="s">
        <v>41</v>
      </c>
      <c r="C23" s="184">
        <v>6391.6263897127001</v>
      </c>
    </row>
    <row r="24" spans="2:3" x14ac:dyDescent="0.25">
      <c r="B24" s="83" t="s">
        <v>42</v>
      </c>
      <c r="C24" s="184">
        <v>44026.4489316736</v>
      </c>
    </row>
    <row r="25" spans="2:3" x14ac:dyDescent="0.25">
      <c r="B25" s="83" t="s">
        <v>43</v>
      </c>
      <c r="C25" s="184">
        <v>2.5929068222000002</v>
      </c>
    </row>
    <row r="26" spans="2:3" x14ac:dyDescent="0.25">
      <c r="B26" s="83" t="s">
        <v>44</v>
      </c>
      <c r="C26" s="184">
        <v>130520.9813457454</v>
      </c>
    </row>
    <row r="27" spans="2:3" x14ac:dyDescent="0.25">
      <c r="B27" s="83" t="s">
        <v>45</v>
      </c>
      <c r="C27" s="185">
        <v>1512.5508664947999</v>
      </c>
    </row>
    <row r="28" spans="2:3" x14ac:dyDescent="0.25">
      <c r="B28" s="83" t="s">
        <v>46</v>
      </c>
      <c r="C28" s="185">
        <v>8.9588219432000002</v>
      </c>
    </row>
    <row r="29" spans="2:3" x14ac:dyDescent="0.25">
      <c r="B29" s="83" t="s">
        <v>47</v>
      </c>
      <c r="C29" s="185">
        <v>1.4305948699</v>
      </c>
    </row>
    <row r="30" spans="2:3" x14ac:dyDescent="0.25">
      <c r="B30" s="83" t="s">
        <v>48</v>
      </c>
      <c r="C30" s="185">
        <v>0.36876792559999999</v>
      </c>
    </row>
    <row r="31" spans="2:3" x14ac:dyDescent="0.25">
      <c r="B31" s="83" t="s">
        <v>49</v>
      </c>
      <c r="C31" s="183">
        <v>1007.3251513444</v>
      </c>
    </row>
    <row r="32" spans="2:3" x14ac:dyDescent="0.25">
      <c r="B32" s="83" t="s">
        <v>50</v>
      </c>
      <c r="C32" s="184">
        <v>52.683154898800005</v>
      </c>
    </row>
    <row r="33" spans="2:3" x14ac:dyDescent="0.25">
      <c r="B33" s="83" t="s">
        <v>51</v>
      </c>
      <c r="C33" s="184">
        <v>33249.891462541404</v>
      </c>
    </row>
    <row r="34" spans="2:3" x14ac:dyDescent="0.25">
      <c r="B34" s="83" t="s">
        <v>52</v>
      </c>
      <c r="C34" s="184">
        <v>5.4365934205000004</v>
      </c>
    </row>
    <row r="35" spans="2:3" x14ac:dyDescent="0.25">
      <c r="B35" s="83" t="s">
        <v>53</v>
      </c>
      <c r="C35" s="184">
        <v>95.227826518900002</v>
      </c>
    </row>
    <row r="36" spans="2:3" x14ac:dyDescent="0.25">
      <c r="B36" s="83" t="s">
        <v>54</v>
      </c>
      <c r="C36" s="184">
        <v>9716.8050474897991</v>
      </c>
    </row>
    <row r="37" spans="2:3" x14ac:dyDescent="0.25">
      <c r="B37" s="83" t="s">
        <v>55</v>
      </c>
      <c r="C37" s="184">
        <v>1.5079958307000001</v>
      </c>
    </row>
    <row r="38" spans="2:3" x14ac:dyDescent="0.25">
      <c r="B38" s="83" t="s">
        <v>56</v>
      </c>
      <c r="C38" s="184">
        <v>313.66642665490002</v>
      </c>
    </row>
    <row r="39" spans="2:3" x14ac:dyDescent="0.25">
      <c r="B39" s="83" t="s">
        <v>57</v>
      </c>
      <c r="C39" s="184">
        <v>139.78455939989999</v>
      </c>
    </row>
    <row r="40" spans="2:3" x14ac:dyDescent="0.25">
      <c r="B40" s="83" t="s">
        <v>58</v>
      </c>
      <c r="C40" s="185">
        <v>7302.6884183551001</v>
      </c>
    </row>
    <row r="41" spans="2:3" x14ac:dyDescent="0.25">
      <c r="B41" s="83" t="s">
        <v>59</v>
      </c>
      <c r="C41" s="185">
        <v>9.996547960900001</v>
      </c>
    </row>
    <row r="42" spans="2:3" x14ac:dyDescent="0.25">
      <c r="B42" s="83" t="s">
        <v>60</v>
      </c>
      <c r="C42" s="185">
        <v>235.5077431656</v>
      </c>
    </row>
    <row r="43" spans="2:3" x14ac:dyDescent="0.25">
      <c r="B43" s="83" t="s">
        <v>61</v>
      </c>
      <c r="C43" s="184">
        <v>35046.116793716297</v>
      </c>
    </row>
    <row r="44" spans="2:3" x14ac:dyDescent="0.25">
      <c r="B44" s="83" t="s">
        <v>62</v>
      </c>
      <c r="C44" s="184">
        <v>274.4645118697</v>
      </c>
    </row>
    <row r="45" spans="2:3" x14ac:dyDescent="0.25">
      <c r="B45" s="83" t="s">
        <v>63</v>
      </c>
      <c r="C45" s="184">
        <v>8641.0775155675001</v>
      </c>
    </row>
    <row r="46" spans="2:3" x14ac:dyDescent="0.25">
      <c r="B46" s="83" t="s">
        <v>64</v>
      </c>
      <c r="C46" s="184">
        <v>113.01729018190001</v>
      </c>
    </row>
    <row r="47" spans="2:3" x14ac:dyDescent="0.25">
      <c r="B47" s="83" t="s">
        <v>65</v>
      </c>
      <c r="C47" s="182">
        <v>8686.5098966191999</v>
      </c>
    </row>
    <row r="48" spans="2:3" x14ac:dyDescent="0.25">
      <c r="B48" s="83" t="s">
        <v>66</v>
      </c>
      <c r="C48" s="182">
        <v>3.0609720574999999</v>
      </c>
    </row>
    <row r="49" spans="2:3" x14ac:dyDescent="0.25">
      <c r="B49" s="83" t="s">
        <v>67</v>
      </c>
      <c r="C49" s="182">
        <v>0.2756480348</v>
      </c>
    </row>
    <row r="50" spans="2:3" x14ac:dyDescent="0.25">
      <c r="B50" s="83" t="s">
        <v>68</v>
      </c>
      <c r="C50" s="182">
        <v>0.60550364489999997</v>
      </c>
    </row>
    <row r="51" spans="2:3" x14ac:dyDescent="0.25">
      <c r="B51" s="83" t="s">
        <v>69</v>
      </c>
      <c r="C51" s="184">
        <v>1495.2351901554</v>
      </c>
    </row>
    <row r="52" spans="2:3" x14ac:dyDescent="0.25">
      <c r="B52" s="83" t="s">
        <v>70</v>
      </c>
      <c r="C52" s="182">
        <v>17108.436379004001</v>
      </c>
    </row>
    <row r="53" spans="2:3" x14ac:dyDescent="0.25">
      <c r="B53" s="83" t="s">
        <v>71</v>
      </c>
      <c r="C53" s="183">
        <v>57796.753826134998</v>
      </c>
    </row>
    <row r="54" spans="2:3" x14ac:dyDescent="0.25">
      <c r="B54" s="83" t="s">
        <v>72</v>
      </c>
      <c r="C54" s="192">
        <v>349.75771249669998</v>
      </c>
    </row>
    <row r="55" spans="2:3" x14ac:dyDescent="0.25">
      <c r="B55" s="83" t="s">
        <v>73</v>
      </c>
      <c r="C55" s="192">
        <v>0.22206005000000001</v>
      </c>
    </row>
    <row r="56" spans="2:3" x14ac:dyDescent="0.25">
      <c r="B56" s="83" t="s">
        <v>74</v>
      </c>
      <c r="C56" s="185">
        <v>8139.2581445735996</v>
      </c>
    </row>
    <row r="57" spans="2:3" x14ac:dyDescent="0.25">
      <c r="B57" s="83" t="s">
        <v>75</v>
      </c>
      <c r="C57" s="185">
        <v>1520.2099291618001</v>
      </c>
    </row>
    <row r="58" spans="2:3" x14ac:dyDescent="0.25">
      <c r="B58" s="83" t="s">
        <v>76</v>
      </c>
      <c r="C58" s="185">
        <v>262.9577929335</v>
      </c>
    </row>
    <row r="59" spans="2:3" x14ac:dyDescent="0.25">
      <c r="B59" s="83" t="s">
        <v>77</v>
      </c>
      <c r="C59" s="185">
        <v>0.15233990189999999</v>
      </c>
    </row>
    <row r="60" spans="2:3" x14ac:dyDescent="0.25">
      <c r="B60" s="83" t="s">
        <v>78</v>
      </c>
      <c r="C60" s="182">
        <v>289.06642828560001</v>
      </c>
    </row>
    <row r="61" spans="2:3" x14ac:dyDescent="0.25">
      <c r="B61" s="83" t="s">
        <v>79</v>
      </c>
      <c r="C61" s="184">
        <v>8991.8723032674006</v>
      </c>
    </row>
    <row r="62" spans="2:3" x14ac:dyDescent="0.25">
      <c r="B62" s="83" t="s">
        <v>80</v>
      </c>
      <c r="C62" s="185">
        <v>16250.5766822932</v>
      </c>
    </row>
    <row r="63" spans="2:3" ht="16.5" thickBot="1" x14ac:dyDescent="0.3">
      <c r="B63" s="103" t="s">
        <v>81</v>
      </c>
      <c r="C63" s="186">
        <v>2168.9414984747</v>
      </c>
    </row>
    <row r="64" spans="2:3" ht="16.5" thickBot="1" x14ac:dyDescent="0.3">
      <c r="B64" s="174" t="s">
        <v>156</v>
      </c>
      <c r="C64" s="187">
        <v>458318.99678509816</v>
      </c>
    </row>
  </sheetData>
  <sortState xmlns:xlrd2="http://schemas.microsoft.com/office/spreadsheetml/2017/richdata2" ref="E3:F6">
    <sortCondition ref="E3:E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919E-17BC-4541-8704-EB145425DDEC}">
  <dimension ref="B1:H25"/>
  <sheetViews>
    <sheetView workbookViewId="0">
      <selection activeCell="B23" sqref="B23"/>
    </sheetView>
  </sheetViews>
  <sheetFormatPr defaultColWidth="9.140625" defaultRowHeight="15.75" x14ac:dyDescent="0.25"/>
  <cols>
    <col min="1" max="1" width="9.140625" style="28"/>
    <col min="2" max="2" width="102.5703125" style="28" customWidth="1"/>
    <col min="3" max="3" width="51.42578125" style="28" customWidth="1"/>
    <col min="4" max="4" width="17.28515625" style="28" customWidth="1"/>
    <col min="5" max="5" width="14.140625" style="28" customWidth="1"/>
    <col min="6" max="6" width="10" style="28" customWidth="1"/>
    <col min="7" max="7" width="20.28515625" style="28" customWidth="1"/>
    <col min="8" max="16384" width="9.140625" style="28"/>
  </cols>
  <sheetData>
    <row r="1" spans="2:8" ht="16.5" thickBot="1" x14ac:dyDescent="0.3"/>
    <row r="2" spans="2:8" ht="16.5" thickBot="1" x14ac:dyDescent="0.3">
      <c r="B2" s="73" t="s">
        <v>122</v>
      </c>
      <c r="C2" s="74" t="s">
        <v>123</v>
      </c>
      <c r="D2" s="75" t="s">
        <v>150</v>
      </c>
      <c r="E2" s="71" t="s">
        <v>152</v>
      </c>
      <c r="F2" s="71" t="s">
        <v>249</v>
      </c>
      <c r="G2" s="76" t="s">
        <v>10</v>
      </c>
    </row>
    <row r="3" spans="2:8" x14ac:dyDescent="0.25">
      <c r="B3" s="77" t="s">
        <v>143</v>
      </c>
      <c r="C3" s="78" t="s">
        <v>144</v>
      </c>
      <c r="D3" s="79" t="s">
        <v>89</v>
      </c>
      <c r="E3" s="80">
        <v>812</v>
      </c>
      <c r="F3" s="80">
        <f>AVERAGE(E3:E6)</f>
        <v>643.25</v>
      </c>
      <c r="G3" s="81"/>
    </row>
    <row r="4" spans="2:8" x14ac:dyDescent="0.25">
      <c r="B4" s="107" t="s">
        <v>145</v>
      </c>
      <c r="C4" s="108" t="s">
        <v>144</v>
      </c>
      <c r="D4" s="109" t="s">
        <v>89</v>
      </c>
      <c r="E4" s="110">
        <v>494</v>
      </c>
      <c r="F4" s="82"/>
      <c r="G4" s="81"/>
    </row>
    <row r="5" spans="2:8" x14ac:dyDescent="0.25">
      <c r="B5" s="107" t="s">
        <v>146</v>
      </c>
      <c r="C5" s="108" t="s">
        <v>144</v>
      </c>
      <c r="D5" s="109" t="s">
        <v>89</v>
      </c>
      <c r="E5" s="110">
        <v>494</v>
      </c>
      <c r="F5" s="82"/>
      <c r="G5" s="81"/>
      <c r="H5" s="83"/>
    </row>
    <row r="6" spans="2:8" ht="16.5" thickBot="1" x14ac:dyDescent="0.3">
      <c r="B6" s="84" t="s">
        <v>148</v>
      </c>
      <c r="C6" s="85" t="s">
        <v>149</v>
      </c>
      <c r="D6" s="86" t="s">
        <v>89</v>
      </c>
      <c r="E6" s="87">
        <v>773</v>
      </c>
      <c r="F6" s="88"/>
      <c r="G6" s="89"/>
    </row>
    <row r="7" spans="2:8" s="96" customFormat="1" x14ac:dyDescent="0.25">
      <c r="B7" s="90" t="s">
        <v>127</v>
      </c>
      <c r="C7" s="91" t="s">
        <v>128</v>
      </c>
      <c r="D7" s="92" t="s">
        <v>91</v>
      </c>
      <c r="E7" s="93">
        <v>1605</v>
      </c>
      <c r="F7" s="94">
        <f>AVERAGE(E7:E11)</f>
        <v>838</v>
      </c>
      <c r="G7" s="95"/>
    </row>
    <row r="8" spans="2:8" s="96" customFormat="1" x14ac:dyDescent="0.25">
      <c r="B8" s="111" t="s">
        <v>129</v>
      </c>
      <c r="C8" s="112" t="s">
        <v>128</v>
      </c>
      <c r="D8" s="113" t="s">
        <v>91</v>
      </c>
      <c r="E8" s="114">
        <v>1605</v>
      </c>
      <c r="F8" s="97"/>
      <c r="G8" s="95"/>
    </row>
    <row r="9" spans="2:8" ht="31.5" x14ac:dyDescent="0.25">
      <c r="B9" s="115" t="s">
        <v>130</v>
      </c>
      <c r="C9" s="116" t="s">
        <v>128</v>
      </c>
      <c r="D9" s="113" t="s">
        <v>91</v>
      </c>
      <c r="E9" s="117">
        <v>101</v>
      </c>
      <c r="F9" s="98"/>
      <c r="G9" s="99"/>
    </row>
    <row r="10" spans="2:8" x14ac:dyDescent="0.25">
      <c r="B10" s="122" t="s">
        <v>252</v>
      </c>
      <c r="C10" s="118" t="s">
        <v>128</v>
      </c>
      <c r="D10" s="119" t="s">
        <v>91</v>
      </c>
      <c r="E10" s="117">
        <v>215</v>
      </c>
      <c r="F10" s="98"/>
      <c r="G10" s="99"/>
    </row>
    <row r="11" spans="2:8" ht="16.5" thickBot="1" x14ac:dyDescent="0.3">
      <c r="B11" s="123" t="s">
        <v>251</v>
      </c>
      <c r="C11" s="120" t="s">
        <v>128</v>
      </c>
      <c r="D11" s="120" t="s">
        <v>91</v>
      </c>
      <c r="E11" s="121">
        <v>664</v>
      </c>
      <c r="F11" s="100"/>
      <c r="G11" s="101"/>
    </row>
    <row r="12" spans="2:8" x14ac:dyDescent="0.25">
      <c r="B12" s="154" t="s">
        <v>138</v>
      </c>
      <c r="C12" s="155" t="s">
        <v>72</v>
      </c>
      <c r="D12" s="156" t="s">
        <v>95</v>
      </c>
      <c r="E12" s="157">
        <v>28215</v>
      </c>
      <c r="F12" s="157">
        <f>AVERAGE(E12:E13)</f>
        <v>23554.5</v>
      </c>
      <c r="G12" s="158" t="s">
        <v>153</v>
      </c>
      <c r="H12" s="28" t="s">
        <v>155</v>
      </c>
    </row>
    <row r="13" spans="2:8" x14ac:dyDescent="0.25">
      <c r="B13" s="159" t="s">
        <v>139</v>
      </c>
      <c r="C13" s="160" t="s">
        <v>72</v>
      </c>
      <c r="D13" s="161" t="s">
        <v>95</v>
      </c>
      <c r="E13" s="162">
        <v>18894</v>
      </c>
      <c r="F13" s="163"/>
      <c r="G13" s="158" t="s">
        <v>153</v>
      </c>
    </row>
    <row r="14" spans="2:8" ht="16.5" thickBot="1" x14ac:dyDescent="0.3">
      <c r="B14" s="164" t="s">
        <v>140</v>
      </c>
      <c r="C14" s="165" t="s">
        <v>45</v>
      </c>
      <c r="D14" s="166" t="s">
        <v>95</v>
      </c>
      <c r="E14" s="167" t="s">
        <v>154</v>
      </c>
      <c r="F14" s="168"/>
      <c r="G14" s="169"/>
    </row>
    <row r="15" spans="2:8" x14ac:dyDescent="0.25">
      <c r="B15" s="125" t="s">
        <v>124</v>
      </c>
      <c r="C15" s="126" t="s">
        <v>125</v>
      </c>
      <c r="D15" s="105" t="s">
        <v>88</v>
      </c>
      <c r="E15" s="127">
        <v>646</v>
      </c>
      <c r="F15" s="127">
        <f>AVERAGE(E15:E19)</f>
        <v>622.4</v>
      </c>
      <c r="G15" s="134"/>
    </row>
    <row r="16" spans="2:8" x14ac:dyDescent="0.25">
      <c r="B16" s="128" t="s">
        <v>126</v>
      </c>
      <c r="C16" s="129" t="s">
        <v>125</v>
      </c>
      <c r="D16" s="124" t="s">
        <v>88</v>
      </c>
      <c r="E16" s="130">
        <v>646</v>
      </c>
      <c r="F16" s="135"/>
      <c r="G16" s="134"/>
    </row>
    <row r="17" spans="2:7" x14ac:dyDescent="0.25">
      <c r="B17" s="128" t="s">
        <v>131</v>
      </c>
      <c r="C17" s="129" t="s">
        <v>132</v>
      </c>
      <c r="D17" s="124" t="s">
        <v>88</v>
      </c>
      <c r="E17" s="130">
        <v>711</v>
      </c>
      <c r="F17" s="135"/>
      <c r="G17" s="134"/>
    </row>
    <row r="18" spans="2:7" x14ac:dyDescent="0.25">
      <c r="B18" s="128" t="s">
        <v>133</v>
      </c>
      <c r="C18" s="129" t="s">
        <v>132</v>
      </c>
      <c r="D18" s="124" t="s">
        <v>88</v>
      </c>
      <c r="E18" s="130">
        <v>311</v>
      </c>
      <c r="F18" s="135"/>
      <c r="G18" s="134"/>
    </row>
    <row r="19" spans="2:7" ht="16.5" thickBot="1" x14ac:dyDescent="0.3">
      <c r="B19" s="131" t="s">
        <v>134</v>
      </c>
      <c r="C19" s="132" t="s">
        <v>135</v>
      </c>
      <c r="D19" s="106" t="s">
        <v>88</v>
      </c>
      <c r="E19" s="133">
        <v>798</v>
      </c>
      <c r="F19" s="136"/>
      <c r="G19" s="137"/>
    </row>
    <row r="20" spans="2:7" x14ac:dyDescent="0.25">
      <c r="B20" s="138" t="s">
        <v>136</v>
      </c>
      <c r="C20" s="139" t="s">
        <v>137</v>
      </c>
      <c r="D20" s="140" t="s">
        <v>151</v>
      </c>
      <c r="E20" s="141">
        <v>514</v>
      </c>
      <c r="F20" s="141">
        <f>AVERAGE(E20:E23)</f>
        <v>518.25</v>
      </c>
      <c r="G20" s="142"/>
    </row>
    <row r="21" spans="2:7" x14ac:dyDescent="0.25">
      <c r="B21" s="143" t="s">
        <v>253</v>
      </c>
      <c r="C21" s="144" t="s">
        <v>137</v>
      </c>
      <c r="D21" s="145" t="s">
        <v>151</v>
      </c>
      <c r="E21" s="146">
        <v>471</v>
      </c>
      <c r="F21" s="147"/>
      <c r="G21" s="142"/>
    </row>
    <row r="22" spans="2:7" x14ac:dyDescent="0.25">
      <c r="B22" s="143" t="s">
        <v>141</v>
      </c>
      <c r="C22" s="144" t="s">
        <v>137</v>
      </c>
      <c r="D22" s="145" t="s">
        <v>151</v>
      </c>
      <c r="E22" s="146">
        <v>544</v>
      </c>
      <c r="F22" s="147"/>
      <c r="G22" s="142"/>
    </row>
    <row r="23" spans="2:7" x14ac:dyDescent="0.25">
      <c r="B23" s="143" t="s">
        <v>142</v>
      </c>
      <c r="C23" s="144" t="s">
        <v>137</v>
      </c>
      <c r="D23" s="145" t="s">
        <v>151</v>
      </c>
      <c r="E23" s="146">
        <v>544</v>
      </c>
      <c r="F23" s="147"/>
      <c r="G23" s="142"/>
    </row>
    <row r="24" spans="2:7" x14ac:dyDescent="0.25">
      <c r="B24" s="143" t="s">
        <v>147</v>
      </c>
      <c r="C24" s="144" t="s">
        <v>137</v>
      </c>
      <c r="D24" s="145" t="s">
        <v>151</v>
      </c>
      <c r="E24" s="146"/>
      <c r="F24" s="147"/>
      <c r="G24" s="142"/>
    </row>
    <row r="25" spans="2:7" ht="16.5" thickBot="1" x14ac:dyDescent="0.3">
      <c r="B25" s="148" t="s">
        <v>250</v>
      </c>
      <c r="C25" s="149" t="s">
        <v>137</v>
      </c>
      <c r="D25" s="150" t="s">
        <v>151</v>
      </c>
      <c r="E25" s="151"/>
      <c r="F25" s="152"/>
      <c r="G25" s="153"/>
    </row>
  </sheetData>
  <sortState xmlns:xlrd2="http://schemas.microsoft.com/office/spreadsheetml/2017/richdata2" ref="B3:E25">
    <sortCondition ref="D3:D25"/>
  </sortState>
  <hyperlinks>
    <hyperlink ref="B15" r:id="rId1" display="https://www.gov.uk/countryside-stewardship-grants/restoration-towards-species-rich-grassland-gs7" xr:uid="{7486BA88-F7CB-47B0-BB94-025AD5D54255}"/>
    <hyperlink ref="B16" r:id="rId2" display="https://www.gov.uk/countryside-stewardship-grants/creation-of-species-rich-grassland-gs8" xr:uid="{0B9DEA6A-31D4-4ED8-80BF-35C1526DCC73}"/>
    <hyperlink ref="B7" r:id="rId3" display="https://www.gov.uk/countryside-stewardship-grants/creation-of-fen-wt9" xr:uid="{48B41095-BFBC-430B-A2C7-51F7D67AD27B}"/>
    <hyperlink ref="B8" r:id="rId4" display="https://www.gov.uk/countryside-stewardship-grants/creation-of-reedbed-wt7" xr:uid="{C7794DA4-8C69-4B1D-8212-8B220A135B60}"/>
    <hyperlink ref="B9" r:id="rId5" display="https://www.gov.uk/countryside-stewardship-grants/moorland-re-wetting-supplement-up5" xr:uid="{E15D5646-9F9D-4959-8216-5CD0E6A810A8}"/>
    <hyperlink ref="B17" r:id="rId6" display="https://www.gov.uk/countryside-stewardship-grants/creation-of-heathland-from-arable-or-improved-grassland-lh3" xr:uid="{3535154B-5A31-46AE-A4F8-BA8BEF90DC11}"/>
    <hyperlink ref="B18" r:id="rId7" display="https://www.gov.uk/countryside-stewardship-grants/restoration-of-forestry-and-woodland-to-lowland-heathland-lh2" xr:uid="{56EC4CE6-422B-46C5-8AC3-29C0B897FE0E}"/>
    <hyperlink ref="B19" r:id="rId8" display="https://www.gov.uk/countryside-stewardship-grants/flower-rich-margins-and-plots-ab8" xr:uid="{5B8F06DA-BB7B-4195-89F7-3F7F100337B0}"/>
    <hyperlink ref="B20" r:id="rId9" display="https://www.gov.uk/countryside-stewardship-grants/creation-of-successional-areas-and-scrub-wd8" xr:uid="{D021E69E-7BF5-40E8-AC59-EA7471F301B3}"/>
    <hyperlink ref="B12" r:id="rId10" display="https://www.gov.uk/countryside-stewardship-grants/pond-management-first-100-sq-m-wn5" xr:uid="{E11A5BF7-0069-475E-B390-AF7C9661FBF7}"/>
    <hyperlink ref="B13" r:id="rId11" display="https://www.gov.uk/countryside-stewardship-grants/pond-management-areas-more-than-100-sq-m-wn6" xr:uid="{7804245A-B06C-4D3B-9058-24FB31CD9B96}"/>
    <hyperlink ref="B14" r:id="rId12" display="https://www.gov.uk/countryside-stewardship-grants/restoration-of-large-water-bodies-wn7" xr:uid="{C8A196D0-68DB-4945-B6F9-2766E199D164}"/>
    <hyperlink ref="B21" r:id="rId13" display="https://www.gov.uk/countryside-stewardship-grants/creation-of-traditional-orchards-be5" xr:uid="{8BF6318B-7E24-40A2-8E2F-652C623A43B7}"/>
    <hyperlink ref="B22" r:id="rId14" display="https://www.gov.uk/countryside-stewardship-grants/creation-of-wood-pasture-wd6" xr:uid="{126BBBD5-44EB-4CE0-9D9B-075B641A9285}"/>
    <hyperlink ref="B23" r:id="rId15" display="https://www.gov.uk/countryside-stewardship-grants/wd12-creation-of-upland-wood-pasture" xr:uid="{4A3A34CB-DCC5-4BF4-AC6F-00B1F13574AF}"/>
    <hyperlink ref="B3" r:id="rId16" display="https://www.gov.uk/countryside-stewardship-grants/creation-of-inter-tidal-and-saline-habitat-on-arable-land-ct4" xr:uid="{06EC6342-F00E-4DC1-9315-181774525A35}"/>
    <hyperlink ref="B4" r:id="rId17" display="https://www.gov.uk/countryside-stewardship-grants/creation-of-inter-tidal-and-saline-habitat-by-non-intervention-ct5" xr:uid="{7681CCAB-8F7E-41F8-A178-506F2A0221EC}"/>
    <hyperlink ref="B5" r:id="rId18" display="https://www.gov.uk/countryside-stewardship-grants/creation-of-inter-tidal-and-saline-habitat-on-intensive-grassland-ct7" xr:uid="{7C1A2EDF-06ED-4B59-9E14-8FB133FA8EF8}"/>
    <hyperlink ref="B24" r:id="rId19" display="https://www.gov.uk/countryside-stewardship-grants/hedgerow-gapping-up-bn7" xr:uid="{513BCF68-FF0A-45EE-BDDC-0630D4B1ED20}"/>
    <hyperlink ref="B25" r:id="rId20" display="https://www.gov.uk/countryside-stewardship-grants/planting-new-hedges-bn11" xr:uid="{0A10F852-9397-4159-B2F8-CBE0388C54A5}"/>
    <hyperlink ref="B6" r:id="rId21" display="https://www.gov.uk/countryside-stewardship-grants/creation-of-coastal-sand-dunes-and-vegetated-shingle-on-arable-land-and-improved-grassland-ct2" xr:uid="{85714E9D-2733-4E14-AAD9-40FB36E7E1A1}"/>
    <hyperlink ref="B10" r:id="rId22" display="https://www.gov.uk/countryside-stewardship-grants/management-of-lowland-raised-bog-wt10" xr:uid="{546AE8D9-0801-4C0E-B4D2-BFA4FD786228}"/>
    <hyperlink ref="B11" r:id="rId23" display="https://www.gov.uk/countryside-stewardship-grants/grip-blocking-drainage-channels-wn1 on peat" xr:uid="{97D054F7-EC92-41AA-A9C6-B2AAD15E72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Area calculations</vt:lpstr>
      <vt:lpstr>Costings - delivery data</vt:lpstr>
      <vt:lpstr>Costings - Gov numbers</vt:lpstr>
      <vt:lpstr>Costings - Green FI Nos.</vt:lpstr>
      <vt:lpstr>Priority habitats outside SSSIs</vt:lpstr>
      <vt:lpstr>AES for Habitat target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Winney</dc:creator>
  <cp:lastModifiedBy>Bruce Winney</cp:lastModifiedBy>
  <dcterms:created xsi:type="dcterms:W3CDTF">2024-10-16T10:24:49Z</dcterms:created>
  <dcterms:modified xsi:type="dcterms:W3CDTF">2025-06-03T15:41:57Z</dcterms:modified>
</cp:coreProperties>
</file>